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запрос!$A$1:$P$75</definedName>
  </definedNames>
  <calcPr calcId="124519"/>
</workbook>
</file>

<file path=xl/calcChain.xml><?xml version="1.0" encoding="utf-8"?>
<calcChain xmlns="http://schemas.openxmlformats.org/spreadsheetml/2006/main">
  <c r="I15" i="2"/>
  <c r="N33"/>
  <c r="M33"/>
  <c r="L33"/>
  <c r="N31"/>
  <c r="M31"/>
  <c r="J31"/>
  <c r="E70"/>
  <c r="F68" l="1"/>
  <c r="G68" s="1"/>
  <c r="H68" s="1"/>
  <c r="O46" l="1"/>
  <c r="O21"/>
  <c r="N21"/>
  <c r="M21"/>
  <c r="L21"/>
  <c r="K21"/>
  <c r="J21" l="1"/>
  <c r="J20"/>
  <c r="J46"/>
  <c r="BB68"/>
  <c r="BC68" s="1"/>
  <c r="BD68" s="1"/>
  <c r="BE68" s="1"/>
  <c r="BB66"/>
  <c r="BC66" s="1"/>
  <c r="BD66" s="1"/>
  <c r="BE66" s="1"/>
  <c r="BA64"/>
  <c r="BB64" s="1"/>
  <c r="BC64" s="1"/>
  <c r="BD64" s="1"/>
  <c r="BE64" s="1"/>
  <c r="BF11" l="1"/>
  <c r="O32"/>
  <c r="O38"/>
  <c r="O39"/>
  <c r="O42" l="1"/>
  <c r="M44"/>
  <c r="O44" s="1"/>
  <c r="L44"/>
  <c r="O45"/>
  <c r="O50"/>
  <c r="P51"/>
  <c r="O22"/>
  <c r="I20" l="1"/>
  <c r="N13"/>
  <c r="M13"/>
  <c r="L13"/>
  <c r="K13"/>
  <c r="J13"/>
  <c r="O11" l="1"/>
  <c r="I22"/>
  <c r="I21"/>
  <c r="O25"/>
  <c r="O27"/>
  <c r="I11"/>
  <c r="I14"/>
  <c r="N32"/>
  <c r="E55" l="1"/>
  <c r="F55"/>
  <c r="G55"/>
  <c r="H55"/>
  <c r="D54" l="1"/>
  <c r="E54"/>
  <c r="F54" s="1"/>
  <c r="G54" s="1"/>
  <c r="H54" s="1"/>
  <c r="D70" l="1"/>
  <c r="D55"/>
  <c r="E68" l="1"/>
  <c r="O41" l="1"/>
  <c r="J11"/>
  <c r="BA68"/>
  <c r="BA66"/>
  <c r="BE19"/>
  <c r="BB19"/>
  <c r="BD19"/>
  <c r="BE13"/>
  <c r="BE11"/>
  <c r="BE10"/>
  <c r="BE12" l="1"/>
  <c r="BE9"/>
  <c r="P69"/>
  <c r="D68"/>
  <c r="H11" l="1"/>
  <c r="H14" l="1"/>
  <c r="H15"/>
  <c r="H16"/>
  <c r="H20" l="1"/>
  <c r="H21"/>
  <c r="H22"/>
  <c r="G22"/>
  <c r="O26"/>
  <c r="D30"/>
  <c r="E30"/>
  <c r="F30"/>
  <c r="G30"/>
  <c r="H30"/>
  <c r="I30"/>
  <c r="J30"/>
  <c r="K30"/>
  <c r="L30"/>
  <c r="M30"/>
  <c r="N30"/>
  <c r="J32"/>
  <c r="J44"/>
  <c r="L38"/>
  <c r="L36" l="1"/>
  <c r="O48"/>
  <c r="O49"/>
  <c r="BD13" l="1"/>
  <c r="G14"/>
  <c r="G11"/>
  <c r="BD11" s="1"/>
  <c r="BD12"/>
  <c r="O35" l="1"/>
  <c r="P35" s="1"/>
  <c r="G20"/>
  <c r="G21" l="1"/>
  <c r="G16"/>
  <c r="G15"/>
  <c r="L31" l="1"/>
  <c r="L32"/>
  <c r="J38"/>
  <c r="N38"/>
  <c r="F31" l="1"/>
  <c r="P42"/>
  <c r="P37"/>
  <c r="D13"/>
  <c r="F22" l="1"/>
  <c r="D21" l="1"/>
  <c r="D19" s="1"/>
  <c r="BA19" s="1"/>
  <c r="BA11"/>
  <c r="BA13" l="1"/>
  <c r="F16" l="1"/>
  <c r="F15"/>
  <c r="O47" l="1"/>
  <c r="K46"/>
  <c r="O40" l="1"/>
  <c r="M38"/>
  <c r="K38"/>
  <c r="J36"/>
  <c r="K36"/>
  <c r="O34"/>
  <c r="O36" l="1"/>
  <c r="P18" l="1"/>
  <c r="E20"/>
  <c r="E16"/>
  <c r="F20" l="1"/>
  <c r="E21"/>
  <c r="F21" s="1"/>
  <c r="E14"/>
  <c r="E13" s="1"/>
  <c r="E11"/>
  <c r="AQ9"/>
  <c r="AR9"/>
  <c r="AS9"/>
  <c r="AT9"/>
  <c r="AU9"/>
  <c r="AV9"/>
  <c r="AW9"/>
  <c r="L19"/>
  <c r="K20"/>
  <c r="AQ12"/>
  <c r="AR12"/>
  <c r="AS12"/>
  <c r="AT12"/>
  <c r="AU12"/>
  <c r="AV12"/>
  <c r="AW12"/>
  <c r="AX9"/>
  <c r="AY9"/>
  <c r="F19" l="1"/>
  <c r="E19"/>
  <c r="K19"/>
  <c r="F14"/>
  <c r="F13" s="1"/>
  <c r="F11"/>
  <c r="BC11" s="1"/>
  <c r="BB11"/>
  <c r="I19"/>
  <c r="O17"/>
  <c r="P17" s="1"/>
  <c r="BF19" l="1"/>
  <c r="BF64"/>
  <c r="BG64" s="1"/>
  <c r="BH64" s="1"/>
  <c r="BI64" s="1"/>
  <c r="BJ64" s="1"/>
  <c r="BK64" s="1"/>
  <c r="BC19"/>
  <c r="K14"/>
  <c r="L14" s="1"/>
  <c r="BB13"/>
  <c r="BC13"/>
  <c r="E12"/>
  <c r="D44"/>
  <c r="D33"/>
  <c r="M14" l="1"/>
  <c r="N19"/>
  <c r="M19"/>
  <c r="G19"/>
  <c r="H19" l="1"/>
  <c r="N14"/>
  <c r="J19"/>
  <c r="N44"/>
  <c r="N43" s="1"/>
  <c r="M43"/>
  <c r="K43"/>
  <c r="J45"/>
  <c r="L43" l="1"/>
  <c r="I43"/>
  <c r="F43"/>
  <c r="G43"/>
  <c r="H43"/>
  <c r="AH12" s="1"/>
  <c r="J43"/>
  <c r="O14"/>
  <c r="K31"/>
  <c r="K32"/>
  <c r="N15"/>
  <c r="M15"/>
  <c r="L15"/>
  <c r="I13"/>
  <c r="H13"/>
  <c r="G13"/>
  <c r="I10" l="1"/>
  <c r="BF13"/>
  <c r="H10"/>
  <c r="AL12"/>
  <c r="O43"/>
  <c r="AG12"/>
  <c r="AN12"/>
  <c r="AM12"/>
  <c r="AF12"/>
  <c r="AK12"/>
  <c r="AI12"/>
  <c r="AJ12"/>
  <c r="H12"/>
  <c r="M12"/>
  <c r="M10"/>
  <c r="G12"/>
  <c r="G10"/>
  <c r="BD10" s="1"/>
  <c r="L12"/>
  <c r="L10"/>
  <c r="J12"/>
  <c r="J10"/>
  <c r="E10"/>
  <c r="I12"/>
  <c r="BF12" s="1"/>
  <c r="N12"/>
  <c r="N10"/>
  <c r="K15"/>
  <c r="BF66" l="1"/>
  <c r="BF68"/>
  <c r="BG68" s="1"/>
  <c r="BF10"/>
  <c r="F10"/>
  <c r="F12"/>
  <c r="O15"/>
  <c r="O13" s="1"/>
  <c r="K12"/>
  <c r="K10"/>
  <c r="P16"/>
  <c r="J39"/>
  <c r="P21" l="1"/>
  <c r="P15"/>
  <c r="O20" s="1"/>
  <c r="O10"/>
  <c r="O31"/>
  <c r="AA9"/>
  <c r="W9"/>
  <c r="R9"/>
  <c r="V9"/>
  <c r="U9" l="1"/>
  <c r="S9"/>
  <c r="X9"/>
  <c r="Y9"/>
  <c r="Z9"/>
  <c r="T9"/>
  <c r="K29" l="1"/>
  <c r="N29"/>
  <c r="M29"/>
  <c r="L29"/>
  <c r="J29"/>
  <c r="I29"/>
  <c r="H29"/>
  <c r="G29"/>
  <c r="F29"/>
  <c r="P50"/>
  <c r="P49"/>
  <c r="P48"/>
  <c r="P46"/>
  <c r="P45"/>
  <c r="P53"/>
  <c r="P41"/>
  <c r="P38"/>
  <c r="P36"/>
  <c r="D43"/>
  <c r="AD12" l="1"/>
  <c r="P47"/>
  <c r="E43"/>
  <c r="P40"/>
  <c r="P52"/>
  <c r="P44"/>
  <c r="P34"/>
  <c r="P39"/>
  <c r="P32"/>
  <c r="AE12" l="1"/>
  <c r="E29"/>
  <c r="P43"/>
  <c r="P31"/>
  <c r="O33" s="1"/>
  <c r="O30" l="1"/>
  <c r="P33"/>
  <c r="D12"/>
  <c r="BB12" s="1"/>
  <c r="D10"/>
  <c r="P13"/>
  <c r="D29"/>
  <c r="AB9" l="1"/>
  <c r="AC9" s="1"/>
  <c r="O29"/>
  <c r="P30"/>
  <c r="BC10"/>
  <c r="BA12"/>
  <c r="BC12"/>
  <c r="P10"/>
  <c r="AD9"/>
  <c r="Q9"/>
  <c r="E56"/>
  <c r="F56"/>
  <c r="G56"/>
  <c r="H56"/>
  <c r="I56"/>
  <c r="J56"/>
  <c r="K56"/>
  <c r="L56"/>
  <c r="M56"/>
  <c r="N56"/>
  <c r="O56"/>
  <c r="D56"/>
  <c r="E62"/>
  <c r="F62"/>
  <c r="G62"/>
  <c r="H62"/>
  <c r="I62"/>
  <c r="J62"/>
  <c r="K62"/>
  <c r="L62"/>
  <c r="M62"/>
  <c r="O62"/>
  <c r="D62"/>
  <c r="P61"/>
  <c r="P59"/>
  <c r="P67"/>
  <c r="P65"/>
  <c r="P66"/>
  <c r="P63"/>
  <c r="P60"/>
  <c r="BH68" l="1"/>
  <c r="BI68" s="1"/>
  <c r="BJ68" s="1"/>
  <c r="BK68" s="1"/>
  <c r="BL68" s="1"/>
  <c r="BG66"/>
  <c r="BH66" s="1"/>
  <c r="BI66" s="1"/>
  <c r="BJ66" s="1"/>
  <c r="BK66" s="1"/>
  <c r="BL66" s="1"/>
  <c r="P22"/>
  <c r="P14"/>
  <c r="M9"/>
  <c r="K9"/>
  <c r="J9"/>
  <c r="I9"/>
  <c r="H9"/>
  <c r="G9"/>
  <c r="BD9" s="1"/>
  <c r="P11"/>
  <c r="P23"/>
  <c r="P26"/>
  <c r="P27"/>
  <c r="P28"/>
  <c r="P56"/>
  <c r="P57"/>
  <c r="P58"/>
  <c r="P62"/>
  <c r="P64"/>
  <c r="P71"/>
  <c r="I68" l="1"/>
  <c r="BF9"/>
  <c r="I54"/>
  <c r="J54" s="1"/>
  <c r="K54" s="1"/>
  <c r="L54" s="1"/>
  <c r="M54" s="1"/>
  <c r="N54" s="1"/>
  <c r="BM66"/>
  <c r="BM68"/>
  <c r="P29"/>
  <c r="L9"/>
  <c r="F9"/>
  <c r="N9"/>
  <c r="E9"/>
  <c r="D9"/>
  <c r="B8"/>
  <c r="C8" s="1"/>
  <c r="D8" s="1"/>
  <c r="I55" l="1"/>
  <c r="J68"/>
  <c r="P20"/>
  <c r="BC9"/>
  <c r="BB9"/>
  <c r="BA9"/>
  <c r="E8"/>
  <c r="F8" s="1"/>
  <c r="G8" s="1"/>
  <c r="J55" l="1"/>
  <c r="K68"/>
  <c r="P25"/>
  <c r="E69"/>
  <c r="K55" l="1"/>
  <c r="L68"/>
  <c r="AE9"/>
  <c r="M68" l="1"/>
  <c r="N68" s="1"/>
  <c r="L55"/>
  <c r="F69"/>
  <c r="F70" s="1"/>
  <c r="M55" l="1"/>
  <c r="N55" s="1"/>
  <c r="G69"/>
  <c r="G70" s="1"/>
  <c r="AF9"/>
  <c r="H69" l="1"/>
  <c r="AG9"/>
  <c r="H70" l="1"/>
  <c r="I69" s="1"/>
  <c r="I70" s="1"/>
  <c r="J69" s="1"/>
  <c r="J70" s="1"/>
  <c r="AH9"/>
  <c r="AI9" l="1"/>
  <c r="AP9" l="1"/>
  <c r="O19"/>
  <c r="BL64" s="1"/>
  <c r="BM64" s="1"/>
  <c r="P24"/>
  <c r="P19" s="1"/>
  <c r="AO12" l="1"/>
  <c r="O12"/>
  <c r="O9" s="1"/>
  <c r="P12"/>
  <c r="P9" s="1"/>
  <c r="AP12"/>
  <c r="O68" l="1"/>
  <c r="O55" s="1"/>
  <c r="O54"/>
  <c r="P68"/>
  <c r="P70" s="1"/>
  <c r="P54"/>
  <c r="P55" l="1"/>
  <c r="AJ9"/>
  <c r="K69"/>
  <c r="K70" l="1"/>
  <c r="L69" s="1"/>
  <c r="L70" s="1"/>
  <c r="AK9"/>
  <c r="M69" l="1"/>
  <c r="M70" s="1"/>
  <c r="AL9"/>
  <c r="AM9" l="1"/>
  <c r="N69" l="1"/>
  <c r="N70" s="1"/>
  <c r="AN9" l="1"/>
  <c r="O69" l="1"/>
  <c r="O70" s="1"/>
  <c r="AO9" l="1"/>
</calcChain>
</file>

<file path=xl/sharedStrings.xml><?xml version="1.0" encoding="utf-8"?>
<sst xmlns="http://schemas.openxmlformats.org/spreadsheetml/2006/main" count="183" uniqueCount="120">
  <si>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</si>
  <si>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</si>
  <si>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</si>
  <si>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</si>
  <si>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</si>
  <si>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</si>
  <si>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</si>
  <si>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</si>
  <si>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</si>
  <si>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</si>
  <si>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</si>
  <si>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</si>
  <si>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</si>
  <si>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</si>
  <si>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</si>
  <si>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</si>
  <si>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</si>
  <si>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</si>
  <si>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</si>
  <si>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</si>
  <si>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</si>
  <si>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</si>
  <si>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</si>
  <si>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</si>
  <si>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</si>
  <si>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</si>
  <si>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</si>
  <si>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</si>
  <si>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</si>
  <si>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</si>
  <si>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</si>
  <si>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</si>
  <si>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</si>
  <si>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</si>
  <si>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</si>
  <si>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</si>
  <si>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</si>
  <si>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</si>
  <si>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</si>
  <si>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</si>
  <si>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</si>
  <si>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</si>
  <si>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</si>
  <si>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</si>
  <si>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</si>
  <si>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</si>
  <si>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</si>
  <si>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</si>
  <si>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</si>
  <si>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</si>
  <si>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</si>
  <si>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</si>
  <si>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</si>
  <si>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</si>
  <si>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</si>
  <si>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</si>
  <si>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</si>
  <si>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</si>
  <si>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</si>
  <si>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</si>
  <si>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</si>
  <si>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</si>
  <si>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</si>
  <si>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</si>
  <si>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</si>
  <si>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</si>
  <si>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</si>
  <si>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</si>
  <si>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</si>
  <si>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</si>
  <si>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</si>
  <si>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</si>
  <si>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</si>
  <si>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</si>
  <si>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</si>
  <si>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</si>
  <si>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</si>
  <si>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</si>
  <si>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</si>
  <si>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</si>
  <si>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</si>
  <si>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</si>
  <si>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</si>
  <si>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</si>
  <si>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</si>
  <si>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</si>
  <si>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</si>
  <si>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</si>
  <si>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</si>
  <si>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</si>
  <si>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</si>
  <si>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</si>
  <si>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</si>
  <si>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</si>
  <si>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</si>
  <si>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</si>
  <si>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</si>
  <si>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</si>
  <si>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</si>
  <si>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</si>
  <si>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</si>
  <si>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</si>
  <si>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</si>
  <si>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</si>
  <si>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</si>
  <si>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</si>
  <si>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</si>
  <si>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</si>
  <si>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</si>
  <si>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</si>
  <si>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</si>
  <si>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</si>
  <si>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2 07 05 000 00 0000 150</t>
  </si>
  <si>
    <t>Уплата налогов, сборов и иных платежей ВР 850</t>
  </si>
  <si>
    <t>Иные межбюджетные трансферты ВР 540</t>
  </si>
  <si>
    <t>целевые ОСТАТОК</t>
  </si>
  <si>
    <t>с/с ОСТАТОК</t>
  </si>
  <si>
    <t>ВСЕГО ОСТАТОК</t>
  </si>
  <si>
    <t>"01" июля 2023 года</t>
  </si>
  <si>
    <t>КАССОВЫЙ ПЛАН НА "01" июля 2023г.
текущий (очередной)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</si>
</sst>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left"/>
    </xf>
    <xf numFmtId="164" fontId="5" fillId="0" borderId="0" xfId="0" applyNumberFormat="1" applyFont="1" applyFill="1"/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0" fontId="9" fillId="0" borderId="0" xfId="0" applyFont="1" applyFill="1"/>
    <xf numFmtId="0" fontId="7" fillId="0" borderId="0" xfId="0" applyFont="1" applyFill="1"/>
    <xf numFmtId="164" fontId="8" fillId="0" borderId="0" xfId="0" applyNumberFormat="1" applyFont="1" applyFill="1"/>
    <xf numFmtId="0" fontId="8" fillId="0" borderId="0" xfId="0" applyFont="1" applyFill="1"/>
    <xf numFmtId="164" fontId="2" fillId="0" borderId="0" xfId="0" applyNumberFormat="1" applyFont="1" applyFill="1"/>
    <xf numFmtId="0" fontId="8" fillId="0" borderId="0" xfId="0" applyFont="1"/>
    <xf numFmtId="0" fontId="7" fillId="0" borderId="0" xfId="0" applyFont="1"/>
    <xf numFmtId="0" fontId="9" fillId="0" borderId="0" xfId="0" applyFont="1"/>
    <xf numFmtId="164" fontId="10" fillId="0" borderId="0" xfId="0" applyNumberFormat="1" applyFont="1" applyFill="1"/>
    <xf numFmtId="0" fontId="3" fillId="0" borderId="0" xfId="0" applyFont="1" applyAlignment="1"/>
    <xf numFmtId="0" fontId="4" fillId="0" borderId="0" xfId="0" applyFont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11" fillId="0" borderId="0" xfId="0" applyNumberFormat="1" applyFont="1" applyFill="1"/>
    <xf numFmtId="0" fontId="12" fillId="0" borderId="0" xfId="0" applyFont="1" applyFill="1"/>
    <xf numFmtId="0" fontId="3" fillId="0" borderId="0" xfId="0" applyFont="1" applyAlignment="1"/>
    <xf numFmtId="0" fontId="4" fillId="0" borderId="0" xfId="0" applyFont="1" applyAlignment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76"/>
  <sheetViews>
    <sheetView tabSelected="1" zoomScale="75" zoomScaleNormal="75" workbookViewId="0">
      <pane ySplit="8" topLeftCell="A66" activePane="bottomLeft" state="frozen"/>
      <selection pane="bottomLeft" activeCell="J15" sqref="J15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2" customWidth="1"/>
    <col min="5" max="5" width="10.42578125" style="1" customWidth="1"/>
    <col min="6" max="6" width="8.85546875" style="1" customWidth="1"/>
    <col min="7" max="7" width="10.5703125" style="1" customWidth="1"/>
    <col min="8" max="8" width="10.7109375" style="1" customWidth="1"/>
    <col min="9" max="9" width="12.28515625" style="1" customWidth="1"/>
    <col min="10" max="10" width="10.7109375" style="2" customWidth="1"/>
    <col min="11" max="11" width="10.140625" style="2" customWidth="1"/>
    <col min="12" max="12" width="11.42578125" style="2" customWidth="1"/>
    <col min="13" max="13" width="10.140625" style="2" customWidth="1"/>
    <col min="14" max="14" width="10.28515625" style="2" customWidth="1"/>
    <col min="15" max="15" width="10.140625" style="1" customWidth="1"/>
    <col min="16" max="16" width="12.7109375" style="41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3" width="13.28515625" style="1" bestFit="1" customWidth="1"/>
    <col min="54" max="54" width="9.42578125" style="45" bestFit="1" customWidth="1"/>
    <col min="55" max="55" width="10.140625" style="1" bestFit="1" customWidth="1"/>
    <col min="56" max="56" width="10" style="1" customWidth="1"/>
    <col min="57" max="57" width="12.85546875" style="1" customWidth="1"/>
    <col min="58" max="58" width="11.140625" style="1" bestFit="1" customWidth="1"/>
    <col min="59" max="60" width="12" style="1" customWidth="1"/>
    <col min="61" max="61" width="10" style="1" bestFit="1" customWidth="1"/>
    <col min="62" max="63" width="11.42578125" style="1" customWidth="1"/>
    <col min="64" max="64" width="12.42578125" style="1" customWidth="1"/>
    <col min="65" max="65" width="11.140625" style="1" bestFit="1" customWidth="1"/>
    <col min="66" max="16384" width="9.140625" style="1"/>
  </cols>
  <sheetData>
    <row r="1" spans="1:65" ht="48" customHeight="1">
      <c r="B1" s="8"/>
      <c r="C1" s="8"/>
      <c r="D1" s="9"/>
      <c r="E1" s="8"/>
      <c r="F1" s="10"/>
      <c r="G1" s="10"/>
      <c r="I1" s="75" t="s">
        <v>77</v>
      </c>
      <c r="J1" s="75"/>
      <c r="K1" s="75"/>
      <c r="L1" s="75"/>
      <c r="M1" s="75"/>
      <c r="N1" s="75"/>
      <c r="O1" s="75"/>
      <c r="P1" s="75"/>
    </row>
    <row r="2" spans="1:65" ht="16.5" customHeight="1">
      <c r="B2" s="8"/>
      <c r="C2" s="8"/>
      <c r="D2" s="9"/>
      <c r="E2" s="8"/>
      <c r="F2" s="10"/>
      <c r="G2" s="10"/>
      <c r="I2" s="75" t="s">
        <v>108</v>
      </c>
      <c r="J2" s="75"/>
      <c r="K2" s="75"/>
      <c r="L2" s="75"/>
      <c r="M2" s="75"/>
      <c r="N2" s="75"/>
      <c r="O2" s="75"/>
      <c r="P2" s="75"/>
    </row>
    <row r="3" spans="1:65" ht="33" customHeight="1">
      <c r="B3" s="8"/>
      <c r="C3" s="8"/>
      <c r="D3" s="9"/>
      <c r="E3" s="8"/>
      <c r="F3" s="10"/>
      <c r="G3" s="10"/>
      <c r="I3" s="76" t="s">
        <v>109</v>
      </c>
      <c r="J3" s="76"/>
      <c r="K3" s="76"/>
      <c r="L3" s="76"/>
      <c r="M3" s="76"/>
      <c r="N3" s="76"/>
      <c r="O3" s="76"/>
      <c r="P3" s="76"/>
    </row>
    <row r="4" spans="1:65" ht="17.25" customHeight="1">
      <c r="B4" s="8"/>
      <c r="C4" s="8"/>
      <c r="D4" s="9"/>
      <c r="E4" s="8"/>
      <c r="F4" s="10"/>
      <c r="G4" s="10"/>
      <c r="I4" s="75" t="s">
        <v>118</v>
      </c>
      <c r="J4" s="75"/>
      <c r="K4" s="75"/>
      <c r="L4" s="75"/>
      <c r="M4" s="75"/>
      <c r="N4" s="75"/>
      <c r="O4" s="75"/>
      <c r="P4" s="75"/>
    </row>
    <row r="5" spans="1:65" ht="28.5" customHeight="1">
      <c r="A5" s="79" t="s">
        <v>119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65" ht="15.75" customHeight="1" thickBot="1">
      <c r="A6" s="1" t="s">
        <v>78</v>
      </c>
      <c r="C6" s="3"/>
      <c r="D6" s="4"/>
      <c r="E6" s="3"/>
      <c r="F6" s="3"/>
      <c r="G6" s="3"/>
    </row>
    <row r="7" spans="1:65" ht="35.25" customHeight="1">
      <c r="A7" s="21" t="s">
        <v>1</v>
      </c>
      <c r="B7" s="5" t="s">
        <v>2</v>
      </c>
      <c r="C7" s="6" t="s">
        <v>3</v>
      </c>
      <c r="D7" s="35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35" t="s">
        <v>69</v>
      </c>
      <c r="K7" s="35" t="s">
        <v>70</v>
      </c>
      <c r="L7" s="35" t="s">
        <v>71</v>
      </c>
      <c r="M7" s="35" t="s">
        <v>72</v>
      </c>
      <c r="N7" s="35" t="s">
        <v>73</v>
      </c>
      <c r="O7" s="6" t="s">
        <v>74</v>
      </c>
      <c r="P7" s="37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  <c r="BA7" s="35" t="s">
        <v>63</v>
      </c>
      <c r="BB7" s="6" t="s">
        <v>64</v>
      </c>
      <c r="BC7" s="6" t="s">
        <v>65</v>
      </c>
      <c r="BD7" s="6" t="s">
        <v>66</v>
      </c>
      <c r="BE7" s="6" t="s">
        <v>67</v>
      </c>
      <c r="BF7" s="6" t="s">
        <v>68</v>
      </c>
      <c r="BG7" s="6" t="s">
        <v>69</v>
      </c>
      <c r="BH7" s="6" t="s">
        <v>70</v>
      </c>
      <c r="BI7" s="6" t="s">
        <v>71</v>
      </c>
      <c r="BJ7" s="6" t="s">
        <v>72</v>
      </c>
      <c r="BK7" s="6" t="s">
        <v>73</v>
      </c>
      <c r="BL7" s="6" t="s">
        <v>74</v>
      </c>
      <c r="BM7" s="37" t="s">
        <v>75</v>
      </c>
    </row>
    <row r="8" spans="1:65" s="12" customFormat="1" ht="9.75" customHeight="1" thickBot="1">
      <c r="A8" s="22" t="s">
        <v>0</v>
      </c>
      <c r="B8" s="16">
        <f>A8+1</f>
        <v>2</v>
      </c>
      <c r="C8" s="17">
        <f t="shared" ref="C8:G8" si="0">B8+1</f>
        <v>3</v>
      </c>
      <c r="D8" s="17">
        <f t="shared" si="0"/>
        <v>4</v>
      </c>
      <c r="E8" s="17">
        <f t="shared" si="0"/>
        <v>5</v>
      </c>
      <c r="F8" s="17">
        <f t="shared" si="0"/>
        <v>6</v>
      </c>
      <c r="G8" s="17">
        <f t="shared" si="0"/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36">
        <v>16</v>
      </c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</row>
    <row r="9" spans="1:65" s="15" customFormat="1" ht="33" customHeight="1">
      <c r="A9" s="23" t="s">
        <v>4</v>
      </c>
      <c r="B9" s="26" t="s">
        <v>5</v>
      </c>
      <c r="C9" s="19"/>
      <c r="D9" s="62">
        <f>D11+D12</f>
        <v>18306.09994</v>
      </c>
      <c r="E9" s="62">
        <f t="shared" ref="E9:P9" si="1">E11+E12</f>
        <v>39767.796320000001</v>
      </c>
      <c r="F9" s="62">
        <f t="shared" si="1"/>
        <v>60512.651236999998</v>
      </c>
      <c r="G9" s="62">
        <f t="shared" si="1"/>
        <v>37328.866172999995</v>
      </c>
      <c r="H9" s="62">
        <f t="shared" si="1"/>
        <v>27492.012259999996</v>
      </c>
      <c r="I9" s="62">
        <f t="shared" si="1"/>
        <v>51516.053620000006</v>
      </c>
      <c r="J9" s="62">
        <f t="shared" si="1"/>
        <v>59344.944330000006</v>
      </c>
      <c r="K9" s="62">
        <f t="shared" si="1"/>
        <v>50242.659530000004</v>
      </c>
      <c r="L9" s="62">
        <f t="shared" si="1"/>
        <v>29622.833529999996</v>
      </c>
      <c r="M9" s="62">
        <f t="shared" si="1"/>
        <v>34236.704530000003</v>
      </c>
      <c r="N9" s="62">
        <f t="shared" si="1"/>
        <v>35998.754529999998</v>
      </c>
      <c r="O9" s="62">
        <f t="shared" si="1"/>
        <v>35826.070350000016</v>
      </c>
      <c r="P9" s="62">
        <f t="shared" si="1"/>
        <v>480195.44634999998</v>
      </c>
      <c r="Q9" s="33">
        <f t="shared" ref="Q9:AB9" si="2">D10-D30</f>
        <v>865.78047999999944</v>
      </c>
      <c r="R9" s="33">
        <f t="shared" si="2"/>
        <v>-1449.4424900000013</v>
      </c>
      <c r="S9" s="33">
        <f t="shared" si="2"/>
        <v>9965.3526899999997</v>
      </c>
      <c r="T9" s="33">
        <f t="shared" si="2"/>
        <v>-2926.8433600000099</v>
      </c>
      <c r="U9" s="33">
        <f t="shared" si="2"/>
        <v>-24940.077279999998</v>
      </c>
      <c r="V9" s="33">
        <f t="shared" si="2"/>
        <v>-118.23425999999381</v>
      </c>
      <c r="W9" s="33">
        <f t="shared" si="2"/>
        <v>23056.570940000005</v>
      </c>
      <c r="X9" s="33">
        <f t="shared" si="2"/>
        <v>21062.867199999993</v>
      </c>
      <c r="Y9" s="33">
        <f t="shared" si="2"/>
        <v>1654.1165299999993</v>
      </c>
      <c r="Z9" s="33">
        <f t="shared" si="2"/>
        <v>-4905.0336300000017</v>
      </c>
      <c r="AA9" s="33">
        <f t="shared" si="2"/>
        <v>-9045.0495500000034</v>
      </c>
      <c r="AB9" s="33">
        <f t="shared" si="2"/>
        <v>-26505.174409999978</v>
      </c>
      <c r="AC9" s="33">
        <f>W9+X9+Y9+Z9+AA9+AB9</f>
        <v>5318.2970800000112</v>
      </c>
      <c r="AD9" s="34">
        <f t="shared" ref="AD9:AU9" si="3">D69+D10-D30</f>
        <v>1531.35707</v>
      </c>
      <c r="AE9" s="34">
        <f t="shared" si="3"/>
        <v>79.395179999999527</v>
      </c>
      <c r="AF9" s="34">
        <f t="shared" si="3"/>
        <v>10044.747869999999</v>
      </c>
      <c r="AG9" s="34">
        <f t="shared" si="3"/>
        <v>7105.6189369999811</v>
      </c>
      <c r="AH9" s="34">
        <f t="shared" si="3"/>
        <v>-17834.458350000008</v>
      </c>
      <c r="AI9" s="34">
        <f t="shared" si="3"/>
        <v>47.307389999990846</v>
      </c>
      <c r="AJ9" s="34">
        <f t="shared" si="3"/>
        <v>23087.0193</v>
      </c>
      <c r="AK9" s="34">
        <f t="shared" si="3"/>
        <v>47826.886499999993</v>
      </c>
      <c r="AL9" s="34">
        <f t="shared" si="3"/>
        <v>31481.003030000003</v>
      </c>
      <c r="AM9" s="34">
        <f t="shared" si="3"/>
        <v>26575.969400000002</v>
      </c>
      <c r="AN9" s="34">
        <f t="shared" si="3"/>
        <v>17530.919850000013</v>
      </c>
      <c r="AO9" s="34">
        <f t="shared" si="3"/>
        <v>-8974.2545599999648</v>
      </c>
      <c r="AP9" s="34">
        <f t="shared" si="3"/>
        <v>-12619.590549999964</v>
      </c>
      <c r="AQ9" s="34">
        <f t="shared" si="3"/>
        <v>0</v>
      </c>
      <c r="AR9" s="34">
        <f t="shared" si="3"/>
        <v>0</v>
      </c>
      <c r="AS9" s="34">
        <f t="shared" si="3"/>
        <v>0</v>
      </c>
      <c r="AT9" s="34">
        <f t="shared" si="3"/>
        <v>0</v>
      </c>
      <c r="AU9" s="34">
        <f t="shared" si="3"/>
        <v>0</v>
      </c>
      <c r="AV9" s="34">
        <f>V10-V30</f>
        <v>0</v>
      </c>
      <c r="AW9" s="34">
        <f>W10-W30</f>
        <v>0</v>
      </c>
      <c r="AX9" s="34">
        <f>X69+X10-X30</f>
        <v>0</v>
      </c>
      <c r="AY9" s="34">
        <f>Y69+Y10-Y30</f>
        <v>0</v>
      </c>
      <c r="BA9" s="34">
        <f>18306.09994-D9</f>
        <v>0</v>
      </c>
      <c r="BB9" s="34">
        <f>58073.89626-E9-D9</f>
        <v>0</v>
      </c>
      <c r="BC9" s="34">
        <f>118586.54749-F9-E9-D9</f>
        <v>-7.0000023697502911E-6</v>
      </c>
      <c r="BD9" s="34">
        <f>155915.41367-G9-F9-E9-D9</f>
        <v>0</v>
      </c>
      <c r="BE9" s="34">
        <f>183407.42593-H9-G9-F9-E9-D9</f>
        <v>0</v>
      </c>
      <c r="BF9" s="34">
        <f>234923.47955-I9-H9-G9-F9-E9-D9</f>
        <v>0</v>
      </c>
    </row>
    <row r="10" spans="1:65" s="2" customFormat="1" ht="15" customHeight="1">
      <c r="A10" s="51"/>
      <c r="B10" s="27" t="s">
        <v>93</v>
      </c>
      <c r="C10" s="11" t="s">
        <v>87</v>
      </c>
      <c r="D10" s="63">
        <f>D11+D13</f>
        <v>14452.122939999999</v>
      </c>
      <c r="E10" s="63">
        <f t="shared" ref="E10:O10" si="4">E11+E13</f>
        <v>23837.194930000001</v>
      </c>
      <c r="F10" s="63">
        <f t="shared" si="4"/>
        <v>42750.269870000004</v>
      </c>
      <c r="G10" s="63">
        <f t="shared" si="4"/>
        <v>16073.497029999991</v>
      </c>
      <c r="H10" s="63">
        <f t="shared" si="4"/>
        <v>6685.2944499999994</v>
      </c>
      <c r="I10" s="63">
        <f>I11+I13</f>
        <v>16918.778850000006</v>
      </c>
      <c r="J10" s="63">
        <f t="shared" si="4"/>
        <v>42206.419330000004</v>
      </c>
      <c r="K10" s="63">
        <f t="shared" si="4"/>
        <v>37803.259529999996</v>
      </c>
      <c r="L10" s="63">
        <f t="shared" si="4"/>
        <v>18177.433529999998</v>
      </c>
      <c r="M10" s="63">
        <f t="shared" si="4"/>
        <v>15855.679529999998</v>
      </c>
      <c r="N10" s="63">
        <f t="shared" si="4"/>
        <v>16334.754529999998</v>
      </c>
      <c r="O10" s="63">
        <f t="shared" si="4"/>
        <v>9149.7020200000043</v>
      </c>
      <c r="P10" s="67">
        <f>SUM(D10:O10)</f>
        <v>260244.40654</v>
      </c>
      <c r="BA10" s="34">
        <v>0</v>
      </c>
      <c r="BB10" s="34">
        <v>0</v>
      </c>
      <c r="BC10" s="34">
        <f>81039.58774-F10-E10-D10</f>
        <v>0</v>
      </c>
      <c r="BD10" s="34">
        <f>97113.08477-G10-F10-E10-D10</f>
        <v>0</v>
      </c>
      <c r="BE10" s="34">
        <f>103798.37922-H10-G10-F10-E10-D10</f>
        <v>0</v>
      </c>
      <c r="BF10" s="34">
        <f>120717.15798-I10-H10-G10-F10-E10-D10</f>
        <v>-9.0000003183376975E-5</v>
      </c>
    </row>
    <row r="11" spans="1:65" s="15" customFormat="1" ht="15.75" customHeight="1">
      <c r="A11" s="24" t="s">
        <v>6</v>
      </c>
      <c r="B11" s="28" t="s">
        <v>7</v>
      </c>
      <c r="C11" s="13" t="s">
        <v>8</v>
      </c>
      <c r="D11" s="64">
        <v>4398.2896099999998</v>
      </c>
      <c r="E11" s="64">
        <f>5889.47994-D11</f>
        <v>1491.1903300000004</v>
      </c>
      <c r="F11" s="64">
        <f>17922.92943-D11-E11</f>
        <v>12033.449489999999</v>
      </c>
      <c r="G11" s="64">
        <f>23777.70713-E11-F11-D11</f>
        <v>5854.7776999999987</v>
      </c>
      <c r="H11" s="64">
        <f>30039.22658-F11-G11-E11-D11</f>
        <v>6261.5194499999998</v>
      </c>
      <c r="I11" s="64">
        <f>36839.2861-G11-H11-F11-E11-D11</f>
        <v>6800.0595199999989</v>
      </c>
      <c r="J11" s="64">
        <f>10000+6387.9+15000-600+2001.8-400-1200-1400+2000</f>
        <v>31789.700000000004</v>
      </c>
      <c r="K11" s="64">
        <v>31687</v>
      </c>
      <c r="L11" s="64">
        <v>11989</v>
      </c>
      <c r="M11" s="64">
        <v>9598</v>
      </c>
      <c r="N11" s="64">
        <v>10125</v>
      </c>
      <c r="O11" s="64">
        <f>134561.50658-D11-E11-F11-G11-H11-I11-J11-K11-L11-M11-N11</f>
        <v>2533.5204800000065</v>
      </c>
      <c r="P11" s="67">
        <f t="shared" ref="P11:P22" si="5">SUM(D11:O11)</f>
        <v>134561.50658000002</v>
      </c>
      <c r="BA11" s="34">
        <f>4398.28961-D11</f>
        <v>0</v>
      </c>
      <c r="BB11" s="34">
        <f>5889.47994-D11-E11</f>
        <v>0</v>
      </c>
      <c r="BC11" s="34">
        <f>17922.92943-D11-E11-F11</f>
        <v>0</v>
      </c>
      <c r="BD11" s="34">
        <f>23777.70713-G11-F11-E11-D11</f>
        <v>0</v>
      </c>
      <c r="BE11" s="34">
        <f>30039.22658-H11-G11-F11-E11-D11</f>
        <v>0</v>
      </c>
      <c r="BF11" s="34">
        <f>36839.2861-I11-H11-G11-F11-E11-D11</f>
        <v>0</v>
      </c>
    </row>
    <row r="12" spans="1:65" s="15" customFormat="1" ht="15.75" customHeight="1">
      <c r="A12" s="24" t="s">
        <v>9</v>
      </c>
      <c r="B12" s="28" t="s">
        <v>94</v>
      </c>
      <c r="C12" s="13" t="s">
        <v>10</v>
      </c>
      <c r="D12" s="64">
        <f t="shared" ref="D12:P12" si="6">D13+D19</f>
        <v>13907.81033</v>
      </c>
      <c r="E12" s="64">
        <f t="shared" si="6"/>
        <v>38276.605990000004</v>
      </c>
      <c r="F12" s="64">
        <f t="shared" si="6"/>
        <v>48479.201746999999</v>
      </c>
      <c r="G12" s="64">
        <f t="shared" si="6"/>
        <v>31474.088472999996</v>
      </c>
      <c r="H12" s="64">
        <f t="shared" si="6"/>
        <v>21230.492809999996</v>
      </c>
      <c r="I12" s="64">
        <f t="shared" si="6"/>
        <v>44715.994100000004</v>
      </c>
      <c r="J12" s="64">
        <f t="shared" si="6"/>
        <v>27555.244330000001</v>
      </c>
      <c r="K12" s="64">
        <f t="shared" si="6"/>
        <v>18555.659530000001</v>
      </c>
      <c r="L12" s="64">
        <f t="shared" si="6"/>
        <v>17633.833529999996</v>
      </c>
      <c r="M12" s="64">
        <f t="shared" si="6"/>
        <v>24638.704529999999</v>
      </c>
      <c r="N12" s="64">
        <f t="shared" si="6"/>
        <v>25873.754529999998</v>
      </c>
      <c r="O12" s="64">
        <f t="shared" si="6"/>
        <v>33292.54987000001</v>
      </c>
      <c r="P12" s="64">
        <f t="shared" si="6"/>
        <v>345633.93977</v>
      </c>
      <c r="AD12" s="34">
        <f>-D27+D19-D43</f>
        <v>1.6000000000531145E-3</v>
      </c>
      <c r="AE12" s="34">
        <f t="shared" ref="AE12:AS12" si="7">E19-E43</f>
        <v>0</v>
      </c>
      <c r="AF12" s="34">
        <f t="shared" si="7"/>
        <v>-12.285573000008299</v>
      </c>
      <c r="AG12" s="34">
        <f t="shared" si="7"/>
        <v>-6.9999950937926769E-6</v>
      </c>
      <c r="AH12" s="34">
        <f t="shared" si="7"/>
        <v>0</v>
      </c>
      <c r="AI12" s="34">
        <f t="shared" si="7"/>
        <v>-16.85902999999962</v>
      </c>
      <c r="AJ12" s="34">
        <f t="shared" si="7"/>
        <v>0</v>
      </c>
      <c r="AK12" s="34">
        <f t="shared" si="7"/>
        <v>0</v>
      </c>
      <c r="AL12" s="34">
        <f t="shared" si="7"/>
        <v>0</v>
      </c>
      <c r="AM12" s="34">
        <f t="shared" si="7"/>
        <v>0</v>
      </c>
      <c r="AN12" s="34">
        <f t="shared" si="7"/>
        <v>0</v>
      </c>
      <c r="AO12" s="34">
        <f t="shared" si="7"/>
        <v>16.857470000028115</v>
      </c>
      <c r="AP12" s="34">
        <f t="shared" si="7"/>
        <v>-14.806539999961387</v>
      </c>
      <c r="AQ12" s="34">
        <f t="shared" si="7"/>
        <v>0</v>
      </c>
      <c r="AR12" s="34">
        <f t="shared" si="7"/>
        <v>0</v>
      </c>
      <c r="AS12" s="34">
        <f t="shared" si="7"/>
        <v>0</v>
      </c>
      <c r="AT12" s="34">
        <f>-T27+T19-T43</f>
        <v>0</v>
      </c>
      <c r="AU12" s="34">
        <f>-U27+U19-U43</f>
        <v>0</v>
      </c>
      <c r="AV12" s="34">
        <f>V27+W19-W43</f>
        <v>0</v>
      </c>
      <c r="AW12" s="34">
        <f>W27+X19-X43</f>
        <v>0</v>
      </c>
      <c r="BA12" s="34">
        <f>13907.81033-D12</f>
        <v>0</v>
      </c>
      <c r="BB12" s="34">
        <f>52184.41632-D12-E12</f>
        <v>0</v>
      </c>
      <c r="BC12" s="34">
        <f>100663.61806-D12-E12-F12</f>
        <v>-7.0000023697502911E-6</v>
      </c>
      <c r="BD12" s="34">
        <f>132137.70654-G12-F12-E12-D12</f>
        <v>1.4551915228366852E-11</v>
      </c>
      <c r="BE12" s="34">
        <f>153368.19935-H12-G12-F12-E12-D12</f>
        <v>1.4551915228366852E-11</v>
      </c>
      <c r="BF12" s="34">
        <f>198084.19345-I12-H12-G12-F12-E12-D12</f>
        <v>-1.4551915228366852E-11</v>
      </c>
    </row>
    <row r="13" spans="1:65" s="15" customFormat="1" ht="15.75" customHeight="1">
      <c r="A13" s="24" t="s">
        <v>95</v>
      </c>
      <c r="B13" s="29" t="s">
        <v>102</v>
      </c>
      <c r="C13" s="13" t="s">
        <v>87</v>
      </c>
      <c r="D13" s="64">
        <f>D14+D15+D16+D17+D18</f>
        <v>10053.833329999999</v>
      </c>
      <c r="E13" s="64">
        <f t="shared" ref="E13:O13" si="8">E14+E15+E16+E17+E18</f>
        <v>22346.0046</v>
      </c>
      <c r="F13" s="64">
        <f t="shared" si="8"/>
        <v>30716.820380000005</v>
      </c>
      <c r="G13" s="64">
        <f t="shared" si="8"/>
        <v>10218.719329999993</v>
      </c>
      <c r="H13" s="64">
        <f t="shared" si="8"/>
        <v>423.77499999999986</v>
      </c>
      <c r="I13" s="64">
        <f t="shared" si="8"/>
        <v>10118.719330000007</v>
      </c>
      <c r="J13" s="64">
        <f t="shared" si="8"/>
        <v>10416.71933</v>
      </c>
      <c r="K13" s="64">
        <f t="shared" si="8"/>
        <v>6116.2595299999984</v>
      </c>
      <c r="L13" s="64">
        <f t="shared" si="8"/>
        <v>6188.4335299999984</v>
      </c>
      <c r="M13" s="64">
        <f t="shared" si="8"/>
        <v>6257.6795299999985</v>
      </c>
      <c r="N13" s="64">
        <f t="shared" si="8"/>
        <v>6209.7545299999992</v>
      </c>
      <c r="O13" s="64">
        <f t="shared" si="8"/>
        <v>6616.1815399999978</v>
      </c>
      <c r="P13" s="67">
        <f t="shared" si="5"/>
        <v>125682.89995999998</v>
      </c>
      <c r="BA13" s="34">
        <f>10053.83333-D13</f>
        <v>0</v>
      </c>
      <c r="BB13" s="34">
        <f>32397.31693-D13-E13+2.521</f>
        <v>-6.4037664060379029E-13</v>
      </c>
      <c r="BC13" s="34">
        <f>63116.65831-D13-E13-F13</f>
        <v>0</v>
      </c>
      <c r="BD13" s="34">
        <f>73335.37764-G13-F13-E13-D13</f>
        <v>0</v>
      </c>
      <c r="BE13" s="34">
        <f>73759.15264-H13-G13-F13-E13-D13</f>
        <v>0</v>
      </c>
      <c r="BF13" s="34">
        <f>83877.87188-I13-H13-G13-F13-E13-D13</f>
        <v>-8.9999992269440554E-5</v>
      </c>
    </row>
    <row r="14" spans="1:65" s="2" customFormat="1" ht="14.25" customHeight="1">
      <c r="A14" s="60"/>
      <c r="B14" s="61" t="s">
        <v>11</v>
      </c>
      <c r="C14" s="11" t="s">
        <v>12</v>
      </c>
      <c r="D14" s="63">
        <v>9375.25</v>
      </c>
      <c r="E14" s="63">
        <f>30532.8-D14</f>
        <v>21157.55</v>
      </c>
      <c r="F14" s="63">
        <f>59024.411-E14-D14</f>
        <v>28491.611000000004</v>
      </c>
      <c r="G14" s="63">
        <f>68240.772-F14-E14-D14</f>
        <v>9216.3609999999935</v>
      </c>
      <c r="H14" s="63">
        <f>68240.772-G14-F14-E14-D14</f>
        <v>0</v>
      </c>
      <c r="I14" s="63">
        <f>77457.133-H14-G14-F14-E14-D14</f>
        <v>9216.3610000000081</v>
      </c>
      <c r="J14" s="63">
        <v>9216.3610000000008</v>
      </c>
      <c r="K14" s="63">
        <f>(112503-J14-I14-H14-G14-F14-E14-D14)/5</f>
        <v>5165.9011999999984</v>
      </c>
      <c r="L14" s="63">
        <f>K14</f>
        <v>5165.9011999999984</v>
      </c>
      <c r="M14" s="63">
        <f t="shared" ref="M14:O14" si="9">L14</f>
        <v>5165.9011999999984</v>
      </c>
      <c r="N14" s="63">
        <f t="shared" si="9"/>
        <v>5165.9011999999984</v>
      </c>
      <c r="O14" s="63">
        <f t="shared" si="9"/>
        <v>5165.9011999999984</v>
      </c>
      <c r="P14" s="67">
        <f>SUM(D14:O14)</f>
        <v>112502.99999999997</v>
      </c>
      <c r="BF14" s="43"/>
    </row>
    <row r="15" spans="1:65" s="2" customFormat="1" ht="49.5" customHeight="1">
      <c r="A15" s="60"/>
      <c r="B15" s="30" t="s">
        <v>100</v>
      </c>
      <c r="C15" s="11" t="s">
        <v>13</v>
      </c>
      <c r="D15" s="63">
        <v>0</v>
      </c>
      <c r="E15" s="63">
        <v>509.87126999999998</v>
      </c>
      <c r="F15" s="63">
        <f>562.58899+671.325-E15</f>
        <v>724.04272000000003</v>
      </c>
      <c r="G15" s="63">
        <f>(662.58899+895.1)-F15-E15</f>
        <v>323.77500000000009</v>
      </c>
      <c r="H15" s="63">
        <f>(862.58899+1118.875)-G15-F15-E15</f>
        <v>423.77499999999986</v>
      </c>
      <c r="I15" s="63">
        <f>223.775</f>
        <v>223.77500000000001</v>
      </c>
      <c r="J15" s="63">
        <v>473.77499999999998</v>
      </c>
      <c r="K15" s="63">
        <f t="shared" ref="K15" si="10">223.775</f>
        <v>223.77500000000001</v>
      </c>
      <c r="L15" s="63">
        <f>223.775+120.174</f>
        <v>343.94900000000001</v>
      </c>
      <c r="M15" s="63">
        <f>223.775+141.42</f>
        <v>365.19499999999999</v>
      </c>
      <c r="N15" s="63">
        <f>223.775+141.495</f>
        <v>365.27</v>
      </c>
      <c r="O15" s="63">
        <f>2685.3+1412.6-D15-E15-F15-G15-H15-I15-J15-K15-L15-M15-N15</f>
        <v>120.69700999999912</v>
      </c>
      <c r="P15" s="67">
        <f t="shared" ref="P15:P17" si="11">SUM(D15:O15)</f>
        <v>4097.8999999999996</v>
      </c>
      <c r="BB15" s="44"/>
      <c r="BF15" s="43"/>
    </row>
    <row r="16" spans="1:65" s="2" customFormat="1" ht="15" customHeight="1">
      <c r="A16" s="60"/>
      <c r="B16" s="30" t="s">
        <v>101</v>
      </c>
      <c r="C16" s="11" t="s">
        <v>14</v>
      </c>
      <c r="D16" s="63">
        <v>678.58333000000005</v>
      </c>
      <c r="E16" s="63">
        <f>678.58333*1</f>
        <v>678.58333000000005</v>
      </c>
      <c r="F16" s="63">
        <f>678.58333*2</f>
        <v>1357.1666600000001</v>
      </c>
      <c r="G16" s="63">
        <f>3392.91665-F16-E16-D16</f>
        <v>678.58332999999982</v>
      </c>
      <c r="H16" s="63">
        <f>3392.91665-G16-F16-E16-D16</f>
        <v>0</v>
      </c>
      <c r="I16" s="63">
        <v>678.58333000000005</v>
      </c>
      <c r="J16" s="63">
        <v>678.58333000000005</v>
      </c>
      <c r="K16" s="63">
        <v>678.58333000000005</v>
      </c>
      <c r="L16" s="63">
        <v>678.58333000000005</v>
      </c>
      <c r="M16" s="63">
        <v>678.58333000000005</v>
      </c>
      <c r="N16" s="63">
        <v>678.58333000000005</v>
      </c>
      <c r="O16" s="63">
        <v>678.58333000000005</v>
      </c>
      <c r="P16" s="67">
        <f t="shared" si="11"/>
        <v>8142.9999600000019</v>
      </c>
      <c r="BF16" s="43"/>
    </row>
    <row r="17" spans="1:58" s="2" customFormat="1" ht="63" customHeight="1">
      <c r="A17" s="60"/>
      <c r="B17" s="30" t="s">
        <v>105</v>
      </c>
      <c r="C17" s="11" t="s">
        <v>15</v>
      </c>
      <c r="D17" s="63">
        <v>0</v>
      </c>
      <c r="E17" s="63">
        <v>0</v>
      </c>
      <c r="F17" s="63">
        <v>144</v>
      </c>
      <c r="G17" s="63">
        <v>0</v>
      </c>
      <c r="H17" s="63">
        <v>0</v>
      </c>
      <c r="I17" s="63">
        <v>0</v>
      </c>
      <c r="J17" s="63">
        <v>48</v>
      </c>
      <c r="K17" s="63">
        <v>48</v>
      </c>
      <c r="L17" s="63">
        <v>0</v>
      </c>
      <c r="M17" s="63">
        <v>48</v>
      </c>
      <c r="N17" s="63">
        <v>0</v>
      </c>
      <c r="O17" s="63">
        <f>939-N17-L17-M17-K17-J17-I17-H17-G17-F17-E17-D17</f>
        <v>651</v>
      </c>
      <c r="P17" s="67">
        <f t="shared" si="11"/>
        <v>939</v>
      </c>
      <c r="BF17" s="43"/>
    </row>
    <row r="18" spans="1:58" s="2" customFormat="1" ht="13.5" customHeight="1">
      <c r="A18" s="60"/>
      <c r="B18" s="30" t="s">
        <v>18</v>
      </c>
      <c r="C18" s="11" t="s">
        <v>112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>
        <v>0</v>
      </c>
      <c r="P18" s="67">
        <f t="shared" ref="P18" si="12">SUM(D18:O18)</f>
        <v>0</v>
      </c>
      <c r="BF18" s="43"/>
    </row>
    <row r="19" spans="1:58" s="15" customFormat="1" ht="14.25" customHeight="1">
      <c r="A19" s="24" t="s">
        <v>99</v>
      </c>
      <c r="B19" s="29" t="s">
        <v>103</v>
      </c>
      <c r="C19" s="13" t="s">
        <v>87</v>
      </c>
      <c r="D19" s="64">
        <f>D20+D21+D22+D23+D24+D25+D26+D27+D28</f>
        <v>3853.9769999999999</v>
      </c>
      <c r="E19" s="64">
        <f t="shared" ref="E19:O19" si="13">E20+E21+E22+E23+E24+E25+E26+E27+E28</f>
        <v>15930.601390000003</v>
      </c>
      <c r="F19" s="64">
        <f t="shared" si="13"/>
        <v>17762.381366999994</v>
      </c>
      <c r="G19" s="64">
        <f t="shared" si="13"/>
        <v>21255.369143000004</v>
      </c>
      <c r="H19" s="64">
        <f t="shared" si="13"/>
        <v>20806.717809999995</v>
      </c>
      <c r="I19" s="64">
        <f t="shared" si="13"/>
        <v>34597.274769999996</v>
      </c>
      <c r="J19" s="64">
        <f t="shared" si="13"/>
        <v>17138.525000000001</v>
      </c>
      <c r="K19" s="64">
        <f t="shared" si="13"/>
        <v>12439.400000000001</v>
      </c>
      <c r="L19" s="64">
        <f t="shared" si="13"/>
        <v>11445.4</v>
      </c>
      <c r="M19" s="64">
        <f t="shared" si="13"/>
        <v>18381.025000000001</v>
      </c>
      <c r="N19" s="64">
        <f t="shared" si="13"/>
        <v>19664</v>
      </c>
      <c r="O19" s="64">
        <f t="shared" si="13"/>
        <v>26676.368330000012</v>
      </c>
      <c r="P19" s="64">
        <f>P20+P21+P22+P23+P24+P25+P26+P27+P28</f>
        <v>219951.03981000002</v>
      </c>
      <c r="BA19" s="44">
        <f>3856.498-D19-2.521</f>
        <v>1.8562928971732617E-13</v>
      </c>
      <c r="BB19" s="44">
        <f>19789.62039-E19-D19-2.521*2</f>
        <v>-3.2667202276570606E-12</v>
      </c>
      <c r="BC19" s="44">
        <f>37546.95975-F19-E19-D19</f>
        <v>-6.9999960032873787E-6</v>
      </c>
      <c r="BD19" s="44">
        <f>58817.13548-G19-F19-E19-D19-14.8</f>
        <v>6.5799999958464639E-3</v>
      </c>
      <c r="BE19" s="44">
        <f>79609.04671-D19-E19-F19-G19-H19</f>
        <v>0</v>
      </c>
      <c r="BF19" s="44">
        <f>114206.32157-E19-F19-G19-H19-I19-D19</f>
        <v>9.0000015006808098E-5</v>
      </c>
    </row>
    <row r="20" spans="1:58" s="2" customFormat="1" ht="15.75" customHeight="1">
      <c r="A20" s="80"/>
      <c r="B20" s="30" t="s">
        <v>96</v>
      </c>
      <c r="C20" s="11" t="s">
        <v>13</v>
      </c>
      <c r="D20" s="63">
        <v>0</v>
      </c>
      <c r="E20" s="63">
        <f>769.242-E15</f>
        <v>259.37072999999998</v>
      </c>
      <c r="F20" s="63">
        <f>3271.38789-E20-D20-F15-E15</f>
        <v>1778.1031699999999</v>
      </c>
      <c r="G20" s="63">
        <f>9046.73451-F20-E20-G15-F15-E15</f>
        <v>5451.5716199999997</v>
      </c>
      <c r="H20" s="63">
        <f>11395.60814-G20-F20-E20-H15-G15-F15-E15</f>
        <v>1925.0986300000009</v>
      </c>
      <c r="I20" s="63">
        <f>14538.25732-D15-E15-F15-G15-H15-I15-D20-E20-F20-G20-H20</f>
        <v>2918.8741800000012</v>
      </c>
      <c r="J20" s="63">
        <f>1390+450+1000+3100</f>
        <v>5940</v>
      </c>
      <c r="K20" s="63">
        <f>1800+3528.7+157.7</f>
        <v>5486.4</v>
      </c>
      <c r="L20" s="63">
        <v>1187.5999999999999</v>
      </c>
      <c r="M20" s="63">
        <v>1186.4000000000001</v>
      </c>
      <c r="N20" s="63">
        <v>1379.7</v>
      </c>
      <c r="O20" s="63">
        <f>38665.94635-N20-M20-L20-K20-J20-I20-H20-G20-F20-E20-D20-P15</f>
        <v>7054.9280199999976</v>
      </c>
      <c r="P20" s="67">
        <f t="shared" si="5"/>
        <v>34568.046349999997</v>
      </c>
      <c r="BC20" s="44"/>
    </row>
    <row r="21" spans="1:58" s="2" customFormat="1" ht="15.75" customHeight="1">
      <c r="A21" s="80"/>
      <c r="B21" s="30" t="s">
        <v>97</v>
      </c>
      <c r="C21" s="11" t="s">
        <v>14</v>
      </c>
      <c r="D21" s="63">
        <f>4535.08133-D16</f>
        <v>3856.498</v>
      </c>
      <c r="E21" s="63">
        <f>20041.58319-D21-E16-D16</f>
        <v>14827.918530000003</v>
      </c>
      <c r="F21" s="63">
        <f>36505.65448-D21-E21-F16-E16-D16</f>
        <v>15106.904629999997</v>
      </c>
      <c r="G21" s="63">
        <f>52149.55935-E21-F21-D21-G16-F16-E16-D16</f>
        <v>14965.321540000003</v>
      </c>
      <c r="H21" s="63">
        <f>70154.99648-F21-G21-E21-D21-H16-G16-F16-E16-D16</f>
        <v>18005.437129999995</v>
      </c>
      <c r="I21" s="63">
        <f>100281.66876-G21-H21-F21-E21-I16-H16-G16-F16-E16-D21-D16</f>
        <v>29448.088949999998</v>
      </c>
      <c r="J21" s="63">
        <f>17875.625-J20-737.1</f>
        <v>11198.525</v>
      </c>
      <c r="K21" s="63">
        <f>12287.2-K20+152.2</f>
        <v>6953.0000000000009</v>
      </c>
      <c r="L21" s="63">
        <f>8769.8-L20-L22+1390.5-390.5+1675.6</f>
        <v>9807.7999999999993</v>
      </c>
      <c r="M21" s="63">
        <f>18343.525-M20-M22+37.5</f>
        <v>16294.625</v>
      </c>
      <c r="N21" s="63">
        <f>18103.4-N20-N22+1560.6</f>
        <v>17384.3</v>
      </c>
      <c r="O21" s="63">
        <f>182261.6-P16-D21-E21-F21-G21-H21-I21-J21-K21-L21-M21-N21</f>
        <v>16270.181260000016</v>
      </c>
      <c r="P21" s="67">
        <f>SUM(D21:O21)</f>
        <v>174118.60004000002</v>
      </c>
    </row>
    <row r="22" spans="1:58" s="2" customFormat="1" ht="15.75" customHeight="1">
      <c r="A22" s="80"/>
      <c r="B22" s="30" t="s">
        <v>98</v>
      </c>
      <c r="C22" s="11" t="s">
        <v>15</v>
      </c>
      <c r="D22" s="63">
        <v>0</v>
      </c>
      <c r="E22" s="63">
        <v>843.31213000000002</v>
      </c>
      <c r="F22" s="63">
        <f>1876.971277-E22-F17</f>
        <v>889.65914700000008</v>
      </c>
      <c r="G22" s="63">
        <f>2715.44726-F22-E22-G17-F17</f>
        <v>838.47598299999981</v>
      </c>
      <c r="H22" s="63">
        <f>3591.62931-G22-F22-H17-G17-E22-F17</f>
        <v>876.18204999999989</v>
      </c>
      <c r="I22" s="63">
        <f>5838.79998-H22-G22-I17-H17-F22-G17-E22-F17-E17-D17-D22</f>
        <v>2247.1706699999995</v>
      </c>
      <c r="J22" s="63">
        <v>0</v>
      </c>
      <c r="K22" s="63">
        <v>0</v>
      </c>
      <c r="L22" s="63">
        <v>450</v>
      </c>
      <c r="M22" s="63">
        <v>900</v>
      </c>
      <c r="N22" s="63">
        <v>900</v>
      </c>
      <c r="O22" s="63">
        <f>12218.2-N22-M22-L22-K22-J22-I22-H22-G22-F22-E22-D22-P17</f>
        <v>3334.4000200000009</v>
      </c>
      <c r="P22" s="67">
        <f t="shared" si="5"/>
        <v>11279.2</v>
      </c>
    </row>
    <row r="23" spans="1:58" s="2" customFormat="1" ht="30.75" customHeight="1">
      <c r="A23" s="58"/>
      <c r="B23" s="59" t="s">
        <v>16</v>
      </c>
      <c r="C23" s="11" t="s">
        <v>17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7">
        <f t="shared" ref="P23:P71" si="14">SUM(D23:O23)</f>
        <v>0</v>
      </c>
    </row>
    <row r="24" spans="1:58" s="2" customFormat="1" ht="13.5" customHeight="1">
      <c r="A24" s="80"/>
      <c r="B24" s="81" t="s">
        <v>18</v>
      </c>
      <c r="C24" s="11" t="s">
        <v>19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  <c r="O24" s="63">
        <v>0</v>
      </c>
      <c r="P24" s="67">
        <f t="shared" si="14"/>
        <v>0</v>
      </c>
    </row>
    <row r="25" spans="1:58" s="2" customFormat="1" ht="13.5" customHeight="1">
      <c r="A25" s="80"/>
      <c r="B25" s="81"/>
      <c r="C25" s="11" t="s">
        <v>20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-16.859030000000001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63">
        <f>-I25</f>
        <v>16.859030000000001</v>
      </c>
      <c r="P25" s="67">
        <f t="shared" si="14"/>
        <v>0</v>
      </c>
    </row>
    <row r="26" spans="1:58" s="2" customFormat="1" ht="13.5" customHeight="1">
      <c r="A26" s="80"/>
      <c r="B26" s="81"/>
      <c r="C26" s="11" t="s">
        <v>21</v>
      </c>
      <c r="D26" s="63">
        <v>0</v>
      </c>
      <c r="E26" s="63">
        <v>0</v>
      </c>
      <c r="F26" s="63">
        <v>0</v>
      </c>
      <c r="G26" s="63">
        <v>0</v>
      </c>
      <c r="H26" s="63">
        <v>4.2170199999999998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f>-D26-F26-G26-H26</f>
        <v>-4.2170199999999998</v>
      </c>
      <c r="P26" s="67">
        <f t="shared" si="14"/>
        <v>0</v>
      </c>
    </row>
    <row r="27" spans="1:58" s="2" customFormat="1" ht="13.5" customHeight="1">
      <c r="A27" s="80"/>
      <c r="B27" s="81"/>
      <c r="C27" s="11" t="s">
        <v>22</v>
      </c>
      <c r="D27" s="63">
        <v>-2.5209999999999999</v>
      </c>
      <c r="E27" s="63">
        <v>0</v>
      </c>
      <c r="F27" s="63">
        <v>-12.28558</v>
      </c>
      <c r="G27" s="63">
        <v>0</v>
      </c>
      <c r="H27" s="63">
        <v>-4.2170199999999998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f>-14.80658-D27-F27-G27-H27</f>
        <v>4.2170199999999998</v>
      </c>
      <c r="P27" s="67">
        <f t="shared" si="14"/>
        <v>-14.806580000000002</v>
      </c>
    </row>
    <row r="28" spans="1:58" s="2" customFormat="1" ht="15" customHeight="1">
      <c r="A28" s="58"/>
      <c r="B28" s="59" t="s">
        <v>23</v>
      </c>
      <c r="C28" s="11"/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7">
        <f t="shared" si="14"/>
        <v>0</v>
      </c>
    </row>
    <row r="29" spans="1:58" s="15" customFormat="1" ht="15" customHeight="1">
      <c r="A29" s="24" t="s">
        <v>24</v>
      </c>
      <c r="B29" s="28" t="s">
        <v>25</v>
      </c>
      <c r="C29" s="13" t="s">
        <v>87</v>
      </c>
      <c r="D29" s="64">
        <f t="shared" ref="D29:O29" si="15">D30+D43</f>
        <v>17442.83886</v>
      </c>
      <c r="E29" s="64">
        <f t="shared" si="15"/>
        <v>41217.238810000003</v>
      </c>
      <c r="F29" s="64">
        <f t="shared" si="15"/>
        <v>50559.584120000007</v>
      </c>
      <c r="G29" s="64">
        <f t="shared" si="15"/>
        <v>40255.709539999996</v>
      </c>
      <c r="H29" s="64">
        <f t="shared" si="15"/>
        <v>52432.089540000001</v>
      </c>
      <c r="I29" s="64">
        <f t="shared" si="15"/>
        <v>51651.146909999996</v>
      </c>
      <c r="J29" s="64">
        <f t="shared" si="15"/>
        <v>36288.373390000001</v>
      </c>
      <c r="K29" s="64">
        <f t="shared" si="15"/>
        <v>29179.792330000004</v>
      </c>
      <c r="L29" s="64">
        <f t="shared" si="15"/>
        <v>27968.716999999997</v>
      </c>
      <c r="M29" s="64">
        <f t="shared" si="15"/>
        <v>39141.738159999994</v>
      </c>
      <c r="N29" s="64">
        <f t="shared" si="15"/>
        <v>45043.804080000002</v>
      </c>
      <c r="O29" s="64">
        <f t="shared" si="15"/>
        <v>62314.38728999997</v>
      </c>
      <c r="P29" s="67">
        <f t="shared" si="14"/>
        <v>493495.42003000004</v>
      </c>
    </row>
    <row r="30" spans="1:58" s="15" customFormat="1" ht="79.5" customHeight="1">
      <c r="A30" s="24" t="s">
        <v>26</v>
      </c>
      <c r="B30" s="31" t="s">
        <v>107</v>
      </c>
      <c r="C30" s="13" t="s">
        <v>87</v>
      </c>
      <c r="D30" s="64">
        <f t="shared" ref="D30:O30" si="16">SUM(D31:D42)</f>
        <v>13586.34246</v>
      </c>
      <c r="E30" s="64">
        <f t="shared" si="16"/>
        <v>25286.637420000003</v>
      </c>
      <c r="F30" s="64">
        <f t="shared" si="16"/>
        <v>32784.917180000004</v>
      </c>
      <c r="G30" s="64">
        <f t="shared" si="16"/>
        <v>19000.340390000001</v>
      </c>
      <c r="H30" s="64">
        <f t="shared" si="16"/>
        <v>31625.371729999999</v>
      </c>
      <c r="I30" s="64">
        <f t="shared" si="16"/>
        <v>17037.01311</v>
      </c>
      <c r="J30" s="64">
        <f t="shared" si="16"/>
        <v>19149.848389999999</v>
      </c>
      <c r="K30" s="64">
        <f t="shared" si="16"/>
        <v>16740.392330000002</v>
      </c>
      <c r="L30" s="64">
        <f t="shared" si="16"/>
        <v>16523.316999999999</v>
      </c>
      <c r="M30" s="64">
        <f t="shared" si="16"/>
        <v>20760.713159999999</v>
      </c>
      <c r="N30" s="64">
        <f t="shared" si="16"/>
        <v>25379.804080000002</v>
      </c>
      <c r="O30" s="64">
        <f t="shared" si="16"/>
        <v>35654.876429999982</v>
      </c>
      <c r="P30" s="67">
        <f>SUM(D30:O30)</f>
        <v>273529.57367999997</v>
      </c>
    </row>
    <row r="31" spans="1:58" s="2" customFormat="1" ht="29.25" customHeight="1">
      <c r="A31" s="68"/>
      <c r="B31" s="69" t="s">
        <v>80</v>
      </c>
      <c r="C31" s="11" t="s">
        <v>87</v>
      </c>
      <c r="D31" s="63">
        <v>3005.26926</v>
      </c>
      <c r="E31" s="63">
        <v>7484.9023900000002</v>
      </c>
      <c r="F31" s="63">
        <f>6174.7326</f>
        <v>6174.7326000000003</v>
      </c>
      <c r="G31" s="63">
        <v>4937.24532</v>
      </c>
      <c r="H31" s="63">
        <v>7021.8927000000003</v>
      </c>
      <c r="I31" s="63">
        <v>5737.2293099999997</v>
      </c>
      <c r="J31" s="63">
        <f>5824.955+4000</f>
        <v>9824.9549999999999</v>
      </c>
      <c r="K31" s="63">
        <f>5278.099+2000-300</f>
        <v>6978.0990000000002</v>
      </c>
      <c r="L31" s="63">
        <f>6392.28</f>
        <v>6392.28</v>
      </c>
      <c r="M31" s="63">
        <f>6030.4+2000</f>
        <v>8030.4</v>
      </c>
      <c r="N31" s="63">
        <f>10896.30418</f>
        <v>10896.304179999999</v>
      </c>
      <c r="O31" s="63">
        <f>90637.90254-D31-E31-F31-G31-H31-I31-J31-K31-L31-M31-N31</f>
        <v>14154.592779999984</v>
      </c>
      <c r="P31" s="67">
        <f t="shared" ref="P31:P40" si="17">SUM(D31:O31)</f>
        <v>90637.902539999981</v>
      </c>
    </row>
    <row r="32" spans="1:58" s="2" customFormat="1" ht="29.25" customHeight="1">
      <c r="A32" s="68"/>
      <c r="B32" s="69" t="s">
        <v>81</v>
      </c>
      <c r="C32" s="11" t="s">
        <v>87</v>
      </c>
      <c r="D32" s="63">
        <v>1052.4570100000001</v>
      </c>
      <c r="E32" s="63">
        <v>2168.5048299999999</v>
      </c>
      <c r="F32" s="63">
        <v>2907.0816199999999</v>
      </c>
      <c r="G32" s="63">
        <v>1753.9499699999999</v>
      </c>
      <c r="H32" s="63">
        <v>2343.7348200000001</v>
      </c>
      <c r="I32" s="63">
        <v>1743.03691</v>
      </c>
      <c r="J32" s="63">
        <f>2653.5-500-700</f>
        <v>1453.5</v>
      </c>
      <c r="K32" s="63">
        <f>2598.8-400-100</f>
        <v>2098.8000000000002</v>
      </c>
      <c r="L32" s="63">
        <f>3423.9-1400</f>
        <v>2023.9</v>
      </c>
      <c r="M32" s="63">
        <v>1990.2</v>
      </c>
      <c r="N32" s="63">
        <f>2361.5</f>
        <v>2361.5</v>
      </c>
      <c r="O32" s="63">
        <f>24388.13067-D32-E32-F32-G32-H32-I32-J32-K32-L32-M32-N32</f>
        <v>2491.4655100000009</v>
      </c>
      <c r="P32" s="67">
        <f t="shared" si="17"/>
        <v>24388.130670000006</v>
      </c>
    </row>
    <row r="33" spans="1:16" s="2" customFormat="1" ht="42.75" customHeight="1">
      <c r="A33" s="68"/>
      <c r="B33" s="69" t="s">
        <v>82</v>
      </c>
      <c r="C33" s="11" t="s">
        <v>87</v>
      </c>
      <c r="D33" s="63">
        <f>5934.336</f>
        <v>5934.3360000000002</v>
      </c>
      <c r="E33" s="63">
        <v>8085.8469800000003</v>
      </c>
      <c r="F33" s="63">
        <v>15577.743560000001</v>
      </c>
      <c r="G33" s="63">
        <v>5072.8844900000004</v>
      </c>
      <c r="H33" s="63">
        <v>11507.214120000001</v>
      </c>
      <c r="I33" s="63">
        <v>4026.83491</v>
      </c>
      <c r="J33" s="63">
        <v>3157</v>
      </c>
      <c r="K33" s="63">
        <v>3488.7</v>
      </c>
      <c r="L33" s="63">
        <f>3367.8</f>
        <v>3367.8</v>
      </c>
      <c r="M33" s="63">
        <f>5722.9</f>
        <v>5722.9</v>
      </c>
      <c r="N33" s="63">
        <f>7706</f>
        <v>7706</v>
      </c>
      <c r="O33" s="63">
        <f>273529.6-D33-E33-F33-G33-H33-I33-J33-K33-L33-M33-N33-P31-P32-P34-P36-P37-P38-P39-P40-P41-P42-280.9</f>
        <v>9694.541009999999</v>
      </c>
      <c r="P33" s="67">
        <f t="shared" si="17"/>
        <v>83341.801070000001</v>
      </c>
    </row>
    <row r="34" spans="1:16" s="2" customFormat="1" ht="29.25" customHeight="1">
      <c r="A34" s="68"/>
      <c r="B34" s="69" t="s">
        <v>83</v>
      </c>
      <c r="C34" s="11" t="s">
        <v>87</v>
      </c>
      <c r="D34" s="63">
        <v>316.26</v>
      </c>
      <c r="E34" s="63">
        <v>346.67200000000003</v>
      </c>
      <c r="F34" s="63">
        <v>346.67200000000003</v>
      </c>
      <c r="G34" s="63">
        <v>346.67200000000003</v>
      </c>
      <c r="H34" s="63">
        <v>346.67200000000003</v>
      </c>
      <c r="I34" s="63">
        <v>0</v>
      </c>
      <c r="J34" s="63">
        <v>346.7</v>
      </c>
      <c r="K34" s="63">
        <v>346.7</v>
      </c>
      <c r="L34" s="63">
        <v>346.7</v>
      </c>
      <c r="M34" s="63">
        <v>346.7</v>
      </c>
      <c r="N34" s="63">
        <v>346.7</v>
      </c>
      <c r="O34" s="63">
        <f>4174.632-D34-E34-F34-G34-H34-I34-J34-K34-L34-M34-N34</f>
        <v>738.18399999999929</v>
      </c>
      <c r="P34" s="67">
        <f t="shared" si="17"/>
        <v>4174.6319999999987</v>
      </c>
    </row>
    <row r="35" spans="1:16" s="2" customFormat="1" ht="29.25" customHeight="1">
      <c r="A35" s="68"/>
      <c r="B35" s="69" t="s">
        <v>88</v>
      </c>
      <c r="C35" s="11"/>
      <c r="D35" s="63">
        <v>0</v>
      </c>
      <c r="E35" s="63">
        <v>0</v>
      </c>
      <c r="F35" s="63">
        <v>0</v>
      </c>
      <c r="G35" s="63">
        <v>80.830500000000001</v>
      </c>
      <c r="H35" s="63">
        <v>75.847200000000001</v>
      </c>
      <c r="I35" s="63">
        <v>0</v>
      </c>
      <c r="J35" s="63">
        <v>12</v>
      </c>
      <c r="K35" s="63">
        <v>11</v>
      </c>
      <c r="L35" s="63">
        <v>18</v>
      </c>
      <c r="M35" s="63">
        <v>19</v>
      </c>
      <c r="N35" s="63">
        <v>19.5</v>
      </c>
      <c r="O35" s="63">
        <f>280.87368-D35-E35-F35-G35-H35-I35-J35-K35-L35-M35-N35</f>
        <v>44.695979999999977</v>
      </c>
      <c r="P35" s="67">
        <f t="shared" si="17"/>
        <v>280.87367999999998</v>
      </c>
    </row>
    <row r="36" spans="1:16" s="2" customFormat="1" ht="14.25" customHeight="1">
      <c r="A36" s="68"/>
      <c r="B36" s="69" t="s">
        <v>84</v>
      </c>
      <c r="C36" s="11" t="s">
        <v>87</v>
      </c>
      <c r="D36" s="63">
        <v>1085.3333299999999</v>
      </c>
      <c r="E36" s="63">
        <v>1632.3333299999999</v>
      </c>
      <c r="F36" s="63">
        <v>959.58333000000005</v>
      </c>
      <c r="G36" s="63">
        <v>2213.1666599999999</v>
      </c>
      <c r="H36" s="63">
        <v>0</v>
      </c>
      <c r="I36" s="63">
        <v>1006.58333</v>
      </c>
      <c r="J36" s="63">
        <f t="shared" ref="J36:L36" si="18">1085.33333-78.75</f>
        <v>1006.5833299999999</v>
      </c>
      <c r="K36" s="63">
        <f t="shared" si="18"/>
        <v>1006.5833299999999</v>
      </c>
      <c r="L36" s="63">
        <f t="shared" si="18"/>
        <v>1006.5833299999999</v>
      </c>
      <c r="M36" s="63">
        <v>654</v>
      </c>
      <c r="N36" s="63">
        <v>654</v>
      </c>
      <c r="O36" s="63">
        <f>13024-D36-E36-F36-G36-H36-I36-J36-K36-L36-M36-N36</f>
        <v>1799.2500300000024</v>
      </c>
      <c r="P36" s="67">
        <f t="shared" si="17"/>
        <v>13024.000000000002</v>
      </c>
    </row>
    <row r="37" spans="1:16" s="2" customFormat="1" ht="16.5" customHeight="1">
      <c r="A37" s="68"/>
      <c r="B37" s="69" t="s">
        <v>114</v>
      </c>
      <c r="C37" s="11" t="s">
        <v>87</v>
      </c>
      <c r="D37" s="63">
        <v>0</v>
      </c>
      <c r="E37" s="63">
        <v>0</v>
      </c>
      <c r="F37" s="63">
        <v>650</v>
      </c>
      <c r="G37" s="63">
        <v>350</v>
      </c>
      <c r="H37" s="63">
        <v>0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7">
        <f>SUM(D37:O37)</f>
        <v>1000</v>
      </c>
    </row>
    <row r="38" spans="1:16" s="2" customFormat="1" ht="13.5" customHeight="1">
      <c r="A38" s="68"/>
      <c r="B38" s="69" t="s">
        <v>90</v>
      </c>
      <c r="C38" s="11" t="s">
        <v>87</v>
      </c>
      <c r="D38" s="63">
        <v>1987.644</v>
      </c>
      <c r="E38" s="63">
        <v>5371.0574800000004</v>
      </c>
      <c r="F38" s="63">
        <v>3891.4551900000001</v>
      </c>
      <c r="G38" s="63">
        <v>3916.0815899999998</v>
      </c>
      <c r="H38" s="63">
        <v>4480.0479500000001</v>
      </c>
      <c r="I38" s="63">
        <v>4304.2241599999998</v>
      </c>
      <c r="J38" s="63">
        <f>55.95+2869.41+9.7742+1393.5-1300</f>
        <v>3028.6341999999995</v>
      </c>
      <c r="K38" s="63">
        <f>55.95+2049.03+1378.93-1000</f>
        <v>2483.91</v>
      </c>
      <c r="L38" s="63">
        <f>55.95+1366.07+30.04367+2396.59-500-300</f>
        <v>3048.6536700000001</v>
      </c>
      <c r="M38" s="63">
        <f>55.95+1210.75+35.35516+1868.858+500</f>
        <v>3670.9131600000001</v>
      </c>
      <c r="N38" s="63">
        <f>55.95+1965.04+35.3799+943.73+76.3</f>
        <v>3076.3999000000003</v>
      </c>
      <c r="O38" s="63">
        <f>43393.928-D38-E38-F38-G38-H38-I38-J38-K38-L38-M38-N38</f>
        <v>4134.9066999999959</v>
      </c>
      <c r="P38" s="67">
        <f t="shared" si="17"/>
        <v>43393.927999999985</v>
      </c>
    </row>
    <row r="39" spans="1:16" s="2" customFormat="1" ht="13.5" customHeight="1">
      <c r="A39" s="68"/>
      <c r="B39" s="69" t="s">
        <v>85</v>
      </c>
      <c r="C39" s="11" t="s">
        <v>87</v>
      </c>
      <c r="D39" s="63">
        <v>200.52286000000001</v>
      </c>
      <c r="E39" s="63">
        <v>197.32041000000001</v>
      </c>
      <c r="F39" s="63">
        <v>184.31988000000001</v>
      </c>
      <c r="G39" s="63">
        <v>200.52286000000001</v>
      </c>
      <c r="H39" s="63">
        <v>194.05438000000001</v>
      </c>
      <c r="I39" s="63">
        <v>200.52286000000001</v>
      </c>
      <c r="J39" s="63">
        <f>300.52286+19.953</f>
        <v>320.47585999999995</v>
      </c>
      <c r="K39" s="63">
        <v>326.60000000000002</v>
      </c>
      <c r="L39" s="63">
        <v>319.39999999999998</v>
      </c>
      <c r="M39" s="63">
        <v>326.60000000000002</v>
      </c>
      <c r="N39" s="63">
        <v>319.39999999999998</v>
      </c>
      <c r="O39" s="63">
        <f>5361.45953-D39-E39-F39-G39-H39-I39-J39-K39-L39-M39-N39</f>
        <v>2571.7204200000001</v>
      </c>
      <c r="P39" s="67">
        <f t="shared" si="17"/>
        <v>5361.4595300000001</v>
      </c>
    </row>
    <row r="40" spans="1:16" s="2" customFormat="1" ht="61.5" customHeight="1">
      <c r="A40" s="68"/>
      <c r="B40" s="69" t="s">
        <v>86</v>
      </c>
      <c r="C40" s="11" t="s">
        <v>87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3">
        <v>0</v>
      </c>
      <c r="L40" s="63">
        <v>0</v>
      </c>
      <c r="M40" s="63">
        <v>0</v>
      </c>
      <c r="N40" s="63">
        <v>0</v>
      </c>
      <c r="O40" s="63">
        <f>20-D40-E40-F40-G40-H40-I40-J40-K40-L40-M40-N40</f>
        <v>20</v>
      </c>
      <c r="P40" s="67">
        <f t="shared" si="17"/>
        <v>20</v>
      </c>
    </row>
    <row r="41" spans="1:16" s="2" customFormat="1" ht="16.5" customHeight="1">
      <c r="A41" s="68"/>
      <c r="B41" s="69" t="s">
        <v>104</v>
      </c>
      <c r="C41" s="11" t="s">
        <v>87</v>
      </c>
      <c r="D41" s="63">
        <v>4.5199999999999996</v>
      </c>
      <c r="E41" s="63">
        <v>0</v>
      </c>
      <c r="F41" s="63">
        <v>3</v>
      </c>
      <c r="G41" s="63">
        <v>0</v>
      </c>
      <c r="H41" s="63">
        <v>1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  <c r="O41" s="63">
        <f>14.04-D41-E41-F41-G41-H41-I41-J41-K41-L41-M41-N41</f>
        <v>5.52</v>
      </c>
      <c r="P41" s="67">
        <f>SUM(D41:O41)</f>
        <v>14.04</v>
      </c>
    </row>
    <row r="42" spans="1:16" s="2" customFormat="1" ht="15.75" customHeight="1">
      <c r="A42" s="68"/>
      <c r="B42" s="69" t="s">
        <v>113</v>
      </c>
      <c r="C42" s="11" t="s">
        <v>87</v>
      </c>
      <c r="D42" s="63">
        <v>0</v>
      </c>
      <c r="E42" s="63">
        <v>0</v>
      </c>
      <c r="F42" s="63">
        <v>2090.3290000000002</v>
      </c>
      <c r="G42" s="63">
        <v>128.98699999999999</v>
      </c>
      <c r="H42" s="63">
        <v>5654.9085599999999</v>
      </c>
      <c r="I42" s="63">
        <v>18.581630000000001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63">
        <f>7892.80619-D42-E42-F42-G42-H42-I42-J42-K42-L42-M42-N42</f>
        <v>-3.2329694477084558E-13</v>
      </c>
      <c r="P42" s="67">
        <f t="shared" ref="P42" si="19">SUM(D42:O42)</f>
        <v>7892.8061900000002</v>
      </c>
    </row>
    <row r="43" spans="1:16" s="15" customFormat="1" ht="93.75" customHeight="1">
      <c r="A43" s="24" t="s">
        <v>27</v>
      </c>
      <c r="B43" s="31" t="s">
        <v>106</v>
      </c>
      <c r="C43" s="13" t="s">
        <v>87</v>
      </c>
      <c r="D43" s="64">
        <f>SUM(D44:D52)</f>
        <v>3856.4964</v>
      </c>
      <c r="E43" s="64">
        <f t="shared" ref="E43:O43" si="20">SUM(E44:E52)</f>
        <v>15930.60139</v>
      </c>
      <c r="F43" s="64">
        <f t="shared" si="20"/>
        <v>17774.666940000003</v>
      </c>
      <c r="G43" s="64">
        <f t="shared" si="20"/>
        <v>21255.369149999999</v>
      </c>
      <c r="H43" s="64">
        <f t="shared" si="20"/>
        <v>20806.717810000002</v>
      </c>
      <c r="I43" s="64">
        <f t="shared" si="20"/>
        <v>34614.133799999996</v>
      </c>
      <c r="J43" s="64">
        <f t="shared" si="20"/>
        <v>17138.525000000001</v>
      </c>
      <c r="K43" s="64">
        <f t="shared" si="20"/>
        <v>12439.4</v>
      </c>
      <c r="L43" s="64">
        <f t="shared" si="20"/>
        <v>11445.4</v>
      </c>
      <c r="M43" s="64">
        <f t="shared" si="20"/>
        <v>18381.024999999998</v>
      </c>
      <c r="N43" s="64">
        <f t="shared" si="20"/>
        <v>19664</v>
      </c>
      <c r="O43" s="64">
        <f t="shared" si="20"/>
        <v>26659.510859999984</v>
      </c>
      <c r="P43" s="67">
        <f t="shared" ref="P43:P52" si="21">SUM(D43:O43)</f>
        <v>219965.84634999998</v>
      </c>
    </row>
    <row r="44" spans="1:16" s="2" customFormat="1" ht="30" customHeight="1">
      <c r="A44" s="68"/>
      <c r="B44" s="69" t="s">
        <v>80</v>
      </c>
      <c r="C44" s="11" t="s">
        <v>87</v>
      </c>
      <c r="D44" s="63">
        <f>3489.3334</f>
        <v>3489.3334</v>
      </c>
      <c r="E44" s="63">
        <v>15222.721439999999</v>
      </c>
      <c r="F44" s="63">
        <v>15271.062110000001</v>
      </c>
      <c r="G44" s="63">
        <v>14921.018340000001</v>
      </c>
      <c r="H44" s="63">
        <v>18448.90264</v>
      </c>
      <c r="I44" s="63">
        <v>31214.15222</v>
      </c>
      <c r="J44" s="63">
        <f>12010.7-1000</f>
        <v>11010.7</v>
      </c>
      <c r="K44" s="63">
        <v>5717.8</v>
      </c>
      <c r="L44" s="63">
        <f>7572.6</f>
        <v>7572.6</v>
      </c>
      <c r="M44" s="63">
        <f>13282.6+1000</f>
        <v>14282.6</v>
      </c>
      <c r="N44" s="63">
        <f>14313.4+1000</f>
        <v>15313.4</v>
      </c>
      <c r="O44" s="63">
        <f>171905.9877-D44-E44-F44-G44-H44-I44-J44-K44-L44-M44-N44</f>
        <v>19441.697550000004</v>
      </c>
      <c r="P44" s="67">
        <f t="shared" si="21"/>
        <v>171905.98770000003</v>
      </c>
    </row>
    <row r="45" spans="1:16" s="2" customFormat="1" ht="30" customHeight="1">
      <c r="A45" s="68"/>
      <c r="B45" s="69" t="s">
        <v>81</v>
      </c>
      <c r="C45" s="11" t="s">
        <v>87</v>
      </c>
      <c r="D45" s="63">
        <v>0</v>
      </c>
      <c r="E45" s="63">
        <v>154.39696000000001</v>
      </c>
      <c r="F45" s="63">
        <v>183.27531999999999</v>
      </c>
      <c r="G45" s="63">
        <v>131.49621999999999</v>
      </c>
      <c r="H45" s="63">
        <v>153.00563</v>
      </c>
      <c r="I45" s="63">
        <v>221.50954999999999</v>
      </c>
      <c r="J45" s="63">
        <f>28.7*4</f>
        <v>114.8</v>
      </c>
      <c r="K45" s="63">
        <v>137</v>
      </c>
      <c r="L45" s="63">
        <v>151</v>
      </c>
      <c r="M45" s="63">
        <v>148</v>
      </c>
      <c r="N45" s="63">
        <v>154</v>
      </c>
      <c r="O45" s="63">
        <f>1733.57-D45-E45-F45-G45-H45-I45-J45-K45-L45-M45-N45</f>
        <v>185.08631999999989</v>
      </c>
      <c r="P45" s="67">
        <f t="shared" si="21"/>
        <v>1733.5699999999997</v>
      </c>
    </row>
    <row r="46" spans="1:16" s="2" customFormat="1" ht="48.75" customHeight="1">
      <c r="A46" s="68"/>
      <c r="B46" s="69" t="s">
        <v>82</v>
      </c>
      <c r="C46" s="11" t="s">
        <v>87</v>
      </c>
      <c r="D46" s="63">
        <v>6</v>
      </c>
      <c r="E46" s="63">
        <v>133.33099000000001</v>
      </c>
      <c r="F46" s="63">
        <v>1345.6123299999999</v>
      </c>
      <c r="G46" s="63">
        <v>4376.0224399999997</v>
      </c>
      <c r="H46" s="63">
        <v>1597.0089</v>
      </c>
      <c r="I46" s="63">
        <v>1082.7345499999999</v>
      </c>
      <c r="J46" s="63">
        <f>205+150+3400</f>
        <v>3755</v>
      </c>
      <c r="K46" s="63">
        <f>187+1800+150+3528.7</f>
        <v>5665.7</v>
      </c>
      <c r="L46" s="63">
        <v>2654</v>
      </c>
      <c r="M46" s="63">
        <v>2587</v>
      </c>
      <c r="N46" s="63">
        <v>2945</v>
      </c>
      <c r="O46" s="63">
        <f>219965.84635-D46-E46-F46-G46-H46-I46-J46-K46-L46-M46-N46-P47-P48-P49-P50-P51-P52-P53-P45-P44</f>
        <v>2582.653089999978</v>
      </c>
      <c r="P46" s="67">
        <f t="shared" si="21"/>
        <v>28730.062299999976</v>
      </c>
    </row>
    <row r="47" spans="1:16" s="2" customFormat="1" ht="30" customHeight="1">
      <c r="A47" s="68"/>
      <c r="B47" s="69" t="s">
        <v>88</v>
      </c>
      <c r="C47" s="11" t="s">
        <v>87</v>
      </c>
      <c r="D47" s="63">
        <v>23.238</v>
      </c>
      <c r="E47" s="63">
        <v>420.15199999999999</v>
      </c>
      <c r="F47" s="63">
        <v>974.71717999999998</v>
      </c>
      <c r="G47" s="63">
        <v>299.4178</v>
      </c>
      <c r="H47" s="63">
        <v>607.80064000000004</v>
      </c>
      <c r="I47" s="63">
        <v>470.13747999999998</v>
      </c>
      <c r="J47" s="63">
        <v>967.2</v>
      </c>
      <c r="K47" s="63">
        <v>918.9</v>
      </c>
      <c r="L47" s="63">
        <v>1067.8</v>
      </c>
      <c r="M47" s="63">
        <v>1025.5</v>
      </c>
      <c r="N47" s="63">
        <v>1251.5999999999999</v>
      </c>
      <c r="O47" s="63">
        <f>9772.15-D47-E47-F47-G47-H47-I47-J47-K47-L47-M47-N47</f>
        <v>1745.6869000000002</v>
      </c>
      <c r="P47" s="67">
        <f t="shared" si="21"/>
        <v>9772.15</v>
      </c>
    </row>
    <row r="48" spans="1:16" s="2" customFormat="1" ht="15" customHeight="1">
      <c r="A48" s="68"/>
      <c r="B48" s="69" t="s">
        <v>89</v>
      </c>
      <c r="C48" s="11" t="s">
        <v>87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f>1784.9-N48-M48-L48-K48-J48-I48-H48-G48-F48-E48-D48</f>
        <v>1784.9</v>
      </c>
      <c r="P48" s="67">
        <f t="shared" si="21"/>
        <v>1784.9</v>
      </c>
    </row>
    <row r="49" spans="1:66" s="2" customFormat="1" ht="15" customHeight="1">
      <c r="A49" s="68"/>
      <c r="B49" s="69" t="s">
        <v>84</v>
      </c>
      <c r="C49" s="11" t="s">
        <v>87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f>0-N49-M49-L49-K49-J49-I49-H49-G49-F49-E49-D49</f>
        <v>0</v>
      </c>
      <c r="P49" s="67">
        <f t="shared" si="21"/>
        <v>0</v>
      </c>
    </row>
    <row r="50" spans="1:66" s="2" customFormat="1" ht="15" customHeight="1">
      <c r="A50" s="68"/>
      <c r="B50" s="69" t="s">
        <v>91</v>
      </c>
      <c r="C50" s="11" t="s">
        <v>87</v>
      </c>
      <c r="D50" s="63">
        <v>0</v>
      </c>
      <c r="E50" s="63">
        <v>0</v>
      </c>
      <c r="F50" s="63">
        <v>0</v>
      </c>
      <c r="G50" s="63">
        <v>1189.4893500000001</v>
      </c>
      <c r="H50" s="63">
        <v>0</v>
      </c>
      <c r="I50" s="63">
        <v>1609.6</v>
      </c>
      <c r="J50" s="63">
        <v>952.9</v>
      </c>
      <c r="K50" s="63">
        <v>0</v>
      </c>
      <c r="L50" s="63">
        <v>0</v>
      </c>
      <c r="M50" s="63">
        <v>0</v>
      </c>
      <c r="N50" s="63">
        <v>0</v>
      </c>
      <c r="O50" s="63">
        <f>4671.47635-N50-M50-L50-K50-J50-I50-H50-G50-F50-E50-D50</f>
        <v>919.48699999999985</v>
      </c>
      <c r="P50" s="67">
        <f t="shared" si="21"/>
        <v>4671.4763499999999</v>
      </c>
    </row>
    <row r="51" spans="1:66" s="2" customFormat="1" ht="15" customHeight="1">
      <c r="A51" s="68"/>
      <c r="B51" s="69" t="s">
        <v>92</v>
      </c>
      <c r="C51" s="11" t="s">
        <v>87</v>
      </c>
      <c r="D51" s="63">
        <v>337.92500000000001</v>
      </c>
      <c r="E51" s="63">
        <v>0</v>
      </c>
      <c r="F51" s="63">
        <v>0</v>
      </c>
      <c r="G51" s="63">
        <v>337.92500000000001</v>
      </c>
      <c r="H51" s="63">
        <v>0</v>
      </c>
      <c r="I51" s="63">
        <v>16</v>
      </c>
      <c r="J51" s="63">
        <v>337.92500000000001</v>
      </c>
      <c r="K51" s="63">
        <v>0</v>
      </c>
      <c r="L51" s="63">
        <v>0</v>
      </c>
      <c r="M51" s="63">
        <v>337.92500000000001</v>
      </c>
      <c r="N51" s="63">
        <v>0</v>
      </c>
      <c r="O51" s="63">
        <v>0</v>
      </c>
      <c r="P51" s="67">
        <f t="shared" si="21"/>
        <v>1367.7</v>
      </c>
      <c r="BB51" s="44"/>
    </row>
    <row r="52" spans="1:66" s="2" customFormat="1" ht="15" customHeight="1">
      <c r="A52" s="68"/>
      <c r="B52" s="69" t="s">
        <v>90</v>
      </c>
      <c r="C52" s="11" t="s">
        <v>87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7">
        <f t="shared" si="21"/>
        <v>0</v>
      </c>
    </row>
    <row r="53" spans="1:66" s="2" customFormat="1" ht="19.5" customHeight="1">
      <c r="A53" s="68"/>
      <c r="B53" s="69" t="s">
        <v>23</v>
      </c>
      <c r="C53" s="11" t="s">
        <v>87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63">
        <v>0</v>
      </c>
      <c r="L53" s="63">
        <v>0</v>
      </c>
      <c r="M53" s="63">
        <v>0</v>
      </c>
      <c r="N53" s="63">
        <v>0</v>
      </c>
      <c r="O53" s="63">
        <v>0</v>
      </c>
      <c r="P53" s="67">
        <f t="shared" si="14"/>
        <v>0</v>
      </c>
    </row>
    <row r="54" spans="1:66" s="15" customFormat="1" ht="16.5" customHeight="1">
      <c r="A54" s="24" t="s">
        <v>28</v>
      </c>
      <c r="B54" s="28" t="s">
        <v>29</v>
      </c>
      <c r="C54" s="13" t="s">
        <v>87</v>
      </c>
      <c r="D54" s="64">
        <f t="shared" ref="D54" si="22">-C68+D9-D29</f>
        <v>863.26108000000022</v>
      </c>
      <c r="E54" s="64">
        <f>D54+E9-E29</f>
        <v>-586.18140999999741</v>
      </c>
      <c r="F54" s="64">
        <f>E54+F9-F29</f>
        <v>9366.885706999994</v>
      </c>
      <c r="G54" s="64">
        <f>F54+G9-G29</f>
        <v>6440.0423399999927</v>
      </c>
      <c r="H54" s="64">
        <f>G54+H9-H29</f>
        <v>-18500.034940000012</v>
      </c>
      <c r="I54" s="64">
        <f>H54+I9-I29</f>
        <v>-18635.128230000002</v>
      </c>
      <c r="J54" s="64">
        <f t="shared" ref="J54:O54" si="23">I54+J9-J29</f>
        <v>4421.442710000003</v>
      </c>
      <c r="K54" s="64">
        <f t="shared" si="23"/>
        <v>25484.309910000004</v>
      </c>
      <c r="L54" s="64">
        <f t="shared" si="23"/>
        <v>27138.426440000003</v>
      </c>
      <c r="M54" s="64">
        <f t="shared" si="23"/>
        <v>22233.392810000012</v>
      </c>
      <c r="N54" s="64">
        <f t="shared" si="23"/>
        <v>13188.343260000009</v>
      </c>
      <c r="O54" s="64">
        <f t="shared" si="23"/>
        <v>-13299.973679999945</v>
      </c>
      <c r="P54" s="67">
        <f t="shared" ref="P54" si="24">P9-P29</f>
        <v>-13299.973680000054</v>
      </c>
      <c r="BA54" s="34"/>
      <c r="BB54" s="34"/>
      <c r="BC54" s="34"/>
      <c r="BD54" s="34"/>
      <c r="BE54" s="34"/>
    </row>
    <row r="55" spans="1:66" s="15" customFormat="1" ht="16.5" customHeight="1">
      <c r="A55" s="24" t="s">
        <v>30</v>
      </c>
      <c r="B55" s="28" t="s">
        <v>31</v>
      </c>
      <c r="C55" s="13"/>
      <c r="D55" s="65">
        <f t="shared" ref="D55" si="25">D62+D68+D56</f>
        <v>-863.26108000000022</v>
      </c>
      <c r="E55" s="65">
        <f t="shared" ref="E55:H55" si="26">E56-E62+E68</f>
        <v>586.18141000000105</v>
      </c>
      <c r="F55" s="65">
        <f t="shared" si="26"/>
        <v>-9366.8857069999904</v>
      </c>
      <c r="G55" s="65">
        <f t="shared" si="26"/>
        <v>-6440.0423399999891</v>
      </c>
      <c r="H55" s="65">
        <f t="shared" si="26"/>
        <v>18500.034940000016</v>
      </c>
      <c r="I55" s="65">
        <f>I56-I62+I68+H55-H68</f>
        <v>18635.128230000006</v>
      </c>
      <c r="J55" s="65">
        <f t="shared" ref="J55:O55" si="27">J56-J62+J68+I55-I68</f>
        <v>-4421.4427099999921</v>
      </c>
      <c r="K55" s="65">
        <f t="shared" si="27"/>
        <v>-25484.309909999993</v>
      </c>
      <c r="L55" s="65">
        <f t="shared" si="27"/>
        <v>-27138.426439999992</v>
      </c>
      <c r="M55" s="65">
        <f t="shared" si="27"/>
        <v>-22233.392810000001</v>
      </c>
      <c r="N55" s="65">
        <f t="shared" si="27"/>
        <v>-13188.343259999998</v>
      </c>
      <c r="O55" s="65">
        <f t="shared" si="27"/>
        <v>13299.973679999955</v>
      </c>
      <c r="P55" s="73">
        <f t="shared" ref="P55" si="28">P56-P62+P68</f>
        <v>13299.973680000054</v>
      </c>
      <c r="BA55" s="34"/>
      <c r="BB55" s="34"/>
      <c r="BC55" s="34"/>
      <c r="BD55" s="34"/>
      <c r="BE55" s="34"/>
    </row>
    <row r="56" spans="1:66" s="15" customFormat="1" ht="31.5" customHeight="1">
      <c r="A56" s="24" t="s">
        <v>32</v>
      </c>
      <c r="B56" s="28" t="s">
        <v>33</v>
      </c>
      <c r="C56" s="13"/>
      <c r="D56" s="64">
        <f>D57+D58+D59+D60+D61</f>
        <v>0</v>
      </c>
      <c r="E56" s="64">
        <f t="shared" ref="E56:O56" si="29">E57+E58+E59+E60+E61</f>
        <v>0</v>
      </c>
      <c r="F56" s="64">
        <f t="shared" si="29"/>
        <v>0</v>
      </c>
      <c r="G56" s="64">
        <f t="shared" si="29"/>
        <v>0</v>
      </c>
      <c r="H56" s="64">
        <f t="shared" si="29"/>
        <v>18000</v>
      </c>
      <c r="I56" s="64">
        <f t="shared" si="29"/>
        <v>0</v>
      </c>
      <c r="J56" s="64">
        <f t="shared" si="29"/>
        <v>22017</v>
      </c>
      <c r="K56" s="64">
        <f t="shared" si="29"/>
        <v>0</v>
      </c>
      <c r="L56" s="64">
        <f t="shared" si="29"/>
        <v>17983</v>
      </c>
      <c r="M56" s="64">
        <f t="shared" si="29"/>
        <v>0</v>
      </c>
      <c r="N56" s="64">
        <f t="shared" si="29"/>
        <v>0</v>
      </c>
      <c r="O56" s="64">
        <f t="shared" si="29"/>
        <v>0</v>
      </c>
      <c r="P56" s="67">
        <f t="shared" si="14"/>
        <v>58000</v>
      </c>
      <c r="BB56" s="41"/>
    </row>
    <row r="57" spans="1:66" s="2" customFormat="1" ht="46.5" customHeight="1">
      <c r="A57" s="52"/>
      <c r="B57" s="53" t="s">
        <v>34</v>
      </c>
      <c r="C57" s="11" t="s">
        <v>35</v>
      </c>
      <c r="D57" s="63">
        <v>0</v>
      </c>
      <c r="E57" s="63">
        <v>0</v>
      </c>
      <c r="F57" s="63">
        <v>0</v>
      </c>
      <c r="G57" s="63">
        <v>0</v>
      </c>
      <c r="H57" s="63">
        <v>0</v>
      </c>
      <c r="I57" s="63">
        <v>0</v>
      </c>
      <c r="J57" s="63">
        <v>0</v>
      </c>
      <c r="K57" s="63">
        <v>0</v>
      </c>
      <c r="L57" s="63">
        <v>0</v>
      </c>
      <c r="M57" s="63">
        <v>0</v>
      </c>
      <c r="N57" s="63">
        <v>0</v>
      </c>
      <c r="O57" s="63">
        <v>0</v>
      </c>
      <c r="P57" s="67">
        <f t="shared" si="14"/>
        <v>0</v>
      </c>
      <c r="BB57" s="43"/>
    </row>
    <row r="58" spans="1:66" s="2" customFormat="1" ht="29.25" customHeight="1">
      <c r="A58" s="70"/>
      <c r="B58" s="71" t="s">
        <v>36</v>
      </c>
      <c r="C58" s="11" t="s">
        <v>37</v>
      </c>
      <c r="D58" s="63">
        <v>0</v>
      </c>
      <c r="E58" s="63">
        <v>0</v>
      </c>
      <c r="F58" s="63">
        <v>0</v>
      </c>
      <c r="G58" s="63">
        <v>0</v>
      </c>
      <c r="H58" s="63">
        <v>0</v>
      </c>
      <c r="I58" s="63">
        <v>0</v>
      </c>
      <c r="J58" s="63">
        <v>22017</v>
      </c>
      <c r="K58" s="63">
        <v>0</v>
      </c>
      <c r="L58" s="63">
        <v>17983</v>
      </c>
      <c r="M58" s="63">
        <v>0</v>
      </c>
      <c r="N58" s="63">
        <v>0</v>
      </c>
      <c r="O58" s="63">
        <v>0</v>
      </c>
      <c r="P58" s="67">
        <f t="shared" si="14"/>
        <v>40000</v>
      </c>
    </row>
    <row r="59" spans="1:66" s="2" customFormat="1" ht="47.25" customHeight="1">
      <c r="A59" s="52"/>
      <c r="B59" s="53" t="s">
        <v>38</v>
      </c>
      <c r="C59" s="11" t="s">
        <v>39</v>
      </c>
      <c r="D59" s="63">
        <v>0</v>
      </c>
      <c r="E59" s="63">
        <v>0</v>
      </c>
      <c r="F59" s="63">
        <v>0</v>
      </c>
      <c r="G59" s="63">
        <v>0</v>
      </c>
      <c r="H59" s="63">
        <v>18000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7">
        <f t="shared" si="14"/>
        <v>18000</v>
      </c>
      <c r="BB59" s="43"/>
    </row>
    <row r="60" spans="1:66" s="2" customFormat="1" ht="46.5" customHeight="1">
      <c r="A60" s="52"/>
      <c r="B60" s="53" t="s">
        <v>40</v>
      </c>
      <c r="C60" s="11" t="s">
        <v>76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63">
        <v>0</v>
      </c>
      <c r="P60" s="67">
        <f t="shared" ref="P60:P61" si="30">SUM(D60:O60)</f>
        <v>0</v>
      </c>
      <c r="BB60" s="43"/>
    </row>
    <row r="61" spans="1:66" s="2" customFormat="1" ht="35.25" customHeight="1">
      <c r="A61" s="52"/>
      <c r="B61" s="53" t="s">
        <v>41</v>
      </c>
      <c r="C61" s="11" t="s">
        <v>42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7">
        <f t="shared" si="30"/>
        <v>0</v>
      </c>
      <c r="BB61" s="43"/>
    </row>
    <row r="62" spans="1:66" s="15" customFormat="1" ht="29.25" customHeight="1">
      <c r="A62" s="24" t="s">
        <v>43</v>
      </c>
      <c r="B62" s="28" t="s">
        <v>44</v>
      </c>
      <c r="C62" s="13"/>
      <c r="D62" s="64">
        <f>D63+D64+D65+D66+D67</f>
        <v>0</v>
      </c>
      <c r="E62" s="64">
        <f t="shared" ref="E62:O62" si="31">E63+E64+E65+E66+E67</f>
        <v>0</v>
      </c>
      <c r="F62" s="64">
        <f t="shared" si="31"/>
        <v>0</v>
      </c>
      <c r="G62" s="64">
        <f t="shared" si="31"/>
        <v>0</v>
      </c>
      <c r="H62" s="64">
        <f t="shared" si="31"/>
        <v>0</v>
      </c>
      <c r="I62" s="64">
        <f t="shared" si="31"/>
        <v>0</v>
      </c>
      <c r="J62" s="64">
        <f t="shared" si="31"/>
        <v>18340</v>
      </c>
      <c r="K62" s="64">
        <f t="shared" si="31"/>
        <v>18000</v>
      </c>
      <c r="L62" s="64">
        <f t="shared" si="31"/>
        <v>17983</v>
      </c>
      <c r="M62" s="64">
        <f t="shared" si="31"/>
        <v>0</v>
      </c>
      <c r="N62" s="64">
        <v>0</v>
      </c>
      <c r="O62" s="64">
        <f t="shared" si="31"/>
        <v>0</v>
      </c>
      <c r="P62" s="67">
        <f t="shared" si="14"/>
        <v>54323</v>
      </c>
      <c r="BB62" s="41"/>
    </row>
    <row r="63" spans="1:66" s="2" customFormat="1" ht="45.75" customHeight="1">
      <c r="A63" s="52"/>
      <c r="B63" s="53" t="s">
        <v>45</v>
      </c>
      <c r="C63" s="11" t="s">
        <v>46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3">
        <v>0</v>
      </c>
      <c r="L63" s="63">
        <v>0</v>
      </c>
      <c r="M63" s="63">
        <v>0</v>
      </c>
      <c r="N63" s="63">
        <v>0</v>
      </c>
      <c r="O63" s="63">
        <v>0</v>
      </c>
      <c r="P63" s="67">
        <f t="shared" ref="P63" si="32">SUM(D63:O63)</f>
        <v>0</v>
      </c>
      <c r="BA63" s="74" t="s">
        <v>115</v>
      </c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</row>
    <row r="64" spans="1:66" s="2" customFormat="1" ht="31.5" customHeight="1">
      <c r="A64" s="52"/>
      <c r="B64" s="53" t="s">
        <v>47</v>
      </c>
      <c r="C64" s="11" t="s">
        <v>48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18340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7">
        <f t="shared" si="14"/>
        <v>18340</v>
      </c>
      <c r="BA64" s="44">
        <f t="shared" ref="BA64:BD64" si="33">AZ64-D27-D26-D25-D24+D19-D43</f>
        <v>1.6000000000531145E-3</v>
      </c>
      <c r="BB64" s="44">
        <f t="shared" si="33"/>
        <v>1.6000000032363459E-3</v>
      </c>
      <c r="BC64" s="44">
        <f t="shared" si="33"/>
        <v>1.6069999946921598E-3</v>
      </c>
      <c r="BD64" s="44">
        <f t="shared" si="33"/>
        <v>1.5999999995983671E-3</v>
      </c>
      <c r="BE64" s="44">
        <f>BD64-H27-H26-H25-H24+H19-H43</f>
        <v>1.5999999923224095E-3</v>
      </c>
      <c r="BF64" s="44">
        <f>BE64-I27-I26-I25-I24+I19-I43</f>
        <v>1.5999999959603883E-3</v>
      </c>
      <c r="BG64" s="42">
        <f t="shared" ref="BG64:BM64" si="34">BF64-J27-J26-J25-J24+J19-J43</f>
        <v>1.5999999959603883E-3</v>
      </c>
      <c r="BH64" s="42">
        <f t="shared" si="34"/>
        <v>1.5999999977793777E-3</v>
      </c>
      <c r="BI64" s="42">
        <f t="shared" si="34"/>
        <v>1.5999999977793777E-3</v>
      </c>
      <c r="BJ64" s="42">
        <f t="shared" si="34"/>
        <v>1.5999999995983671E-3</v>
      </c>
      <c r="BK64" s="42">
        <f t="shared" si="34"/>
        <v>1.5999999995983671E-3</v>
      </c>
      <c r="BL64" s="42">
        <f t="shared" si="34"/>
        <v>4.0000028093345463E-5</v>
      </c>
      <c r="BM64" s="42">
        <f t="shared" si="34"/>
        <v>8.0000056186690927E-5</v>
      </c>
      <c r="BN64" s="42"/>
    </row>
    <row r="65" spans="1:65" s="2" customFormat="1" ht="31.5" customHeight="1">
      <c r="A65" s="52"/>
      <c r="B65" s="53" t="s">
        <v>49</v>
      </c>
      <c r="C65" s="11" t="s">
        <v>50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3">
        <v>18000</v>
      </c>
      <c r="L65" s="63">
        <v>17983</v>
      </c>
      <c r="M65" s="63">
        <v>0</v>
      </c>
      <c r="N65" s="63">
        <v>0</v>
      </c>
      <c r="O65" s="63">
        <v>0</v>
      </c>
      <c r="P65" s="67">
        <f t="shared" si="14"/>
        <v>35983</v>
      </c>
      <c r="BA65" s="74" t="s">
        <v>116</v>
      </c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</row>
    <row r="66" spans="1:65" s="2" customFormat="1" ht="31.5" customHeight="1">
      <c r="A66" s="52"/>
      <c r="B66" s="53" t="s">
        <v>51</v>
      </c>
      <c r="C66" s="11" t="s">
        <v>52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7">
        <f t="shared" ref="P66:P67" si="35">SUM(D66:O66)</f>
        <v>0</v>
      </c>
      <c r="BA66" s="44">
        <f>663.0555+D10-D30</f>
        <v>1528.8359799999998</v>
      </c>
      <c r="BB66" s="44">
        <f>BA66+E27+E26+E25+E24+E10-E30+E56-E62</f>
        <v>79.393489999998565</v>
      </c>
      <c r="BC66" s="44">
        <f>BB66+F27+F26+F25+F24+F10-F30+F56-F62</f>
        <v>10032.460599999999</v>
      </c>
      <c r="BD66" s="44">
        <f>BC66+G27+G26+G25+G24+G10-G30+G56-G62</f>
        <v>7105.6172399999887</v>
      </c>
      <c r="BE66" s="44">
        <f>BD66+H27+H26+H25+H24+H10-H30+H56-H62</f>
        <v>165.53995999998733</v>
      </c>
      <c r="BF66" s="44">
        <f>BE66+I27+I26+I25+I24+I10-I30+I56-I62</f>
        <v>30.446669999993901</v>
      </c>
      <c r="BG66" s="42">
        <f t="shared" ref="BG66:BM66" si="36">BF66+J27+J26+J10-J30+J56-J62</f>
        <v>26764.017609999995</v>
      </c>
      <c r="BH66" s="42">
        <f t="shared" si="36"/>
        <v>29826.884809999989</v>
      </c>
      <c r="BI66" s="42">
        <f t="shared" si="36"/>
        <v>31481.001339999988</v>
      </c>
      <c r="BJ66" s="42">
        <f t="shared" si="36"/>
        <v>26575.967709999983</v>
      </c>
      <c r="BK66" s="42">
        <f t="shared" si="36"/>
        <v>17530.918159999979</v>
      </c>
      <c r="BL66" s="42">
        <f t="shared" si="36"/>
        <v>-8974.2562499999985</v>
      </c>
      <c r="BM66" s="42">
        <f t="shared" si="36"/>
        <v>-18597.229969999986</v>
      </c>
    </row>
    <row r="67" spans="1:65" s="2" customFormat="1" ht="31.5" customHeight="1">
      <c r="A67" s="52"/>
      <c r="B67" s="53" t="s">
        <v>53</v>
      </c>
      <c r="C67" s="11" t="s">
        <v>54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7">
        <f t="shared" si="35"/>
        <v>0</v>
      </c>
      <c r="BA67" s="74" t="s">
        <v>117</v>
      </c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</row>
    <row r="68" spans="1:65" s="15" customFormat="1" ht="17.25" customHeight="1">
      <c r="A68" s="24" t="s">
        <v>55</v>
      </c>
      <c r="B68" s="28" t="s">
        <v>56</v>
      </c>
      <c r="C68" s="13"/>
      <c r="D68" s="64">
        <f t="shared" ref="D68" si="37">(D62+D29)-(D56+D9)</f>
        <v>-863.26108000000022</v>
      </c>
      <c r="E68" s="64">
        <f>(E62+E29)-(E56+E9)+D68</f>
        <v>586.18141000000105</v>
      </c>
      <c r="F68" s="64">
        <f>(F62+F29)-(F56+F9)+E68+E56</f>
        <v>-9366.8857069999904</v>
      </c>
      <c r="G68" s="64">
        <f>(G62+G29)-(G56+G9)+F68+F56</f>
        <v>-6440.0423399999891</v>
      </c>
      <c r="H68" s="64">
        <f>(H62+H29)-(H56+H9)+G68+G56</f>
        <v>500.03494000001592</v>
      </c>
      <c r="I68" s="64">
        <f>(I62+I29)-(I56+I9)+H68</f>
        <v>635.12823000000571</v>
      </c>
      <c r="J68" s="64">
        <f t="shared" ref="J68:O68" si="38">(J62+J29)-(J56+J9)+I68</f>
        <v>-26098.442709999992</v>
      </c>
      <c r="K68" s="64">
        <f t="shared" si="38"/>
        <v>-29161.309909999993</v>
      </c>
      <c r="L68" s="64">
        <f t="shared" si="38"/>
        <v>-30815.426439999992</v>
      </c>
      <c r="M68" s="64">
        <f t="shared" si="38"/>
        <v>-25910.392810000001</v>
      </c>
      <c r="N68" s="64">
        <f t="shared" si="38"/>
        <v>-16865.343259999998</v>
      </c>
      <c r="O68" s="64">
        <f t="shared" si="38"/>
        <v>9622.9736799999555</v>
      </c>
      <c r="P68" s="64">
        <f t="shared" ref="P68" si="39">(P62+P29)-(P56+P9)</f>
        <v>9622.9736800000537</v>
      </c>
      <c r="BA68" s="54">
        <f>665.576559+D10-D30+D27-D26</f>
        <v>1528.8360389999987</v>
      </c>
      <c r="BB68" s="54">
        <f t="shared" ref="BB68:BD68" si="40">BA68+E10-E30+E27+E26+E25+E24+E56-E62</f>
        <v>79.39354899999671</v>
      </c>
      <c r="BC68" s="54">
        <f t="shared" si="40"/>
        <v>10032.460659</v>
      </c>
      <c r="BD68" s="54">
        <f t="shared" si="40"/>
        <v>7105.6172989999905</v>
      </c>
      <c r="BE68" s="54">
        <f>BD68+H10-H30+H27+H26+H25+H24+H56-H62</f>
        <v>165.54001899999275</v>
      </c>
      <c r="BF68" s="54">
        <f>BE68+I10-I30+I27+I26+I25+I24+I56-I62</f>
        <v>30.446728999998943</v>
      </c>
      <c r="BG68" s="48">
        <f>BF68+J10-J30+J27+J26+J25+J24+J56-J62</f>
        <v>26764.017669000001</v>
      </c>
      <c r="BH68" s="48">
        <f t="shared" ref="BH68:BM68" si="41">BG68+K10-K30+K27+K26+K56-K62</f>
        <v>29826.884868999994</v>
      </c>
      <c r="BI68" s="48">
        <f t="shared" si="41"/>
        <v>31481.001399000001</v>
      </c>
      <c r="BJ68" s="48">
        <f t="shared" si="41"/>
        <v>26575.967768999995</v>
      </c>
      <c r="BK68" s="48">
        <f t="shared" si="41"/>
        <v>17530.918218999992</v>
      </c>
      <c r="BL68" s="48">
        <f t="shared" si="41"/>
        <v>-8974.2561909999858</v>
      </c>
      <c r="BM68" s="48">
        <f t="shared" si="41"/>
        <v>-18597.229910999973</v>
      </c>
    </row>
    <row r="69" spans="1:65" s="14" customFormat="1" ht="17.25" customHeight="1">
      <c r="A69" s="24" t="s">
        <v>57</v>
      </c>
      <c r="B69" s="28" t="s">
        <v>58</v>
      </c>
      <c r="C69" s="13"/>
      <c r="D69" s="64">
        <v>665.57659000000001</v>
      </c>
      <c r="E69" s="64">
        <f>D70</f>
        <v>1528.8376700000008</v>
      </c>
      <c r="F69" s="64">
        <f t="shared" ref="F69:H69" si="42">E70</f>
        <v>79.395179999999527</v>
      </c>
      <c r="G69" s="64">
        <f t="shared" si="42"/>
        <v>10032.462296999991</v>
      </c>
      <c r="H69" s="64">
        <f t="shared" si="42"/>
        <v>7105.6189299999896</v>
      </c>
      <c r="I69" s="64">
        <f t="shared" ref="I69" si="43">H70</f>
        <v>165.54164999998466</v>
      </c>
      <c r="J69" s="64">
        <f t="shared" ref="J69" si="44">I70</f>
        <v>30.448359999994864</v>
      </c>
      <c r="K69" s="64">
        <f t="shared" ref="K69" si="45">J70</f>
        <v>26764.0193</v>
      </c>
      <c r="L69" s="64">
        <f t="shared" ref="L69" si="46">K70</f>
        <v>29826.886500000001</v>
      </c>
      <c r="M69" s="64">
        <f t="shared" ref="M69" si="47">L70</f>
        <v>31481.00303</v>
      </c>
      <c r="N69" s="64">
        <f t="shared" ref="N69" si="48">M70</f>
        <v>26575.969400000016</v>
      </c>
      <c r="O69" s="64">
        <f t="shared" ref="O69" si="49">N70</f>
        <v>17530.919850000013</v>
      </c>
      <c r="P69" s="64">
        <f>D69</f>
        <v>665.57659000000001</v>
      </c>
      <c r="BA69" s="34"/>
    </row>
    <row r="70" spans="1:65" s="14" customFormat="1" ht="17.25" customHeight="1">
      <c r="A70" s="24" t="s">
        <v>59</v>
      </c>
      <c r="B70" s="28" t="s">
        <v>60</v>
      </c>
      <c r="C70" s="13"/>
      <c r="D70" s="64">
        <f>D69+D9-D29+D55-D68</f>
        <v>1528.8376700000008</v>
      </c>
      <c r="E70" s="64">
        <f>E69+E9-E29+E56-E62</f>
        <v>79.395179999999527</v>
      </c>
      <c r="F70" s="64">
        <f>F69+F9-F29+F56-F62</f>
        <v>10032.462296999991</v>
      </c>
      <c r="G70" s="64">
        <f>G69+G9-G29+G56-G62</f>
        <v>7105.6189299999896</v>
      </c>
      <c r="H70" s="64">
        <f>H69+H9-H29+H56-H62</f>
        <v>165.54164999998466</v>
      </c>
      <c r="I70" s="64">
        <f>I69+I9-I29+I56-I62</f>
        <v>30.448359999994864</v>
      </c>
      <c r="J70" s="64">
        <f t="shared" ref="J70:O70" si="50">J69+J9-J29+J56-J62</f>
        <v>26764.0193</v>
      </c>
      <c r="K70" s="64">
        <f t="shared" si="50"/>
        <v>29826.886500000001</v>
      </c>
      <c r="L70" s="64">
        <f t="shared" si="50"/>
        <v>31481.00303</v>
      </c>
      <c r="M70" s="64">
        <f t="shared" si="50"/>
        <v>26575.969400000016</v>
      </c>
      <c r="N70" s="64">
        <f t="shared" si="50"/>
        <v>17530.919850000013</v>
      </c>
      <c r="O70" s="64">
        <f t="shared" si="50"/>
        <v>-8957.3970899999404</v>
      </c>
      <c r="P70" s="64">
        <f t="shared" ref="P70" si="51">P69-P68</f>
        <v>-8957.3970900000531</v>
      </c>
      <c r="BA70" s="34"/>
      <c r="BB70" s="46"/>
    </row>
    <row r="71" spans="1:65" s="15" customFormat="1" ht="35.1" customHeight="1" thickBot="1">
      <c r="A71" s="25" t="s">
        <v>61</v>
      </c>
      <c r="B71" s="32" t="s">
        <v>62</v>
      </c>
      <c r="C71" s="20"/>
      <c r="D71" s="66">
        <v>0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72">
        <f t="shared" si="14"/>
        <v>0</v>
      </c>
      <c r="BA71" s="34"/>
    </row>
    <row r="72" spans="1:65" ht="8.25" customHeight="1">
      <c r="B72" s="2"/>
      <c r="C72" s="2"/>
      <c r="E72" s="2"/>
      <c r="F72" s="2"/>
      <c r="G72" s="2"/>
    </row>
    <row r="73" spans="1:65" ht="18.75" customHeight="1">
      <c r="B73" s="38" t="s">
        <v>110</v>
      </c>
      <c r="C73" s="38"/>
      <c r="D73" s="56"/>
      <c r="E73" s="56"/>
      <c r="F73" s="56"/>
      <c r="G73" s="56"/>
      <c r="H73" s="56"/>
      <c r="I73" s="49"/>
    </row>
    <row r="74" spans="1:65" s="7" customFormat="1" ht="12.75">
      <c r="B74" s="39" t="s">
        <v>111</v>
      </c>
      <c r="C74" s="39"/>
      <c r="D74" s="57"/>
      <c r="E74" s="57"/>
      <c r="F74" s="57"/>
      <c r="G74" s="57"/>
      <c r="H74" s="57"/>
      <c r="I74" s="50"/>
      <c r="J74" s="12"/>
      <c r="K74" s="12"/>
      <c r="L74" s="12"/>
      <c r="M74" s="12"/>
      <c r="N74" s="12"/>
      <c r="P74" s="55"/>
      <c r="BB74" s="47"/>
    </row>
    <row r="75" spans="1:65" s="7" customFormat="1" ht="13.5" customHeight="1">
      <c r="B75" s="78" t="s">
        <v>79</v>
      </c>
      <c r="C75" s="78"/>
      <c r="D75" s="78"/>
      <c r="E75" s="78"/>
      <c r="F75" s="78"/>
      <c r="G75" s="78"/>
      <c r="H75" s="78"/>
      <c r="I75" s="78"/>
      <c r="J75" s="12"/>
      <c r="K75" s="12"/>
      <c r="L75" s="12"/>
      <c r="M75" s="12"/>
      <c r="N75" s="12"/>
      <c r="P75" s="55"/>
      <c r="BB75" s="47"/>
    </row>
    <row r="76" spans="1:65" ht="18.75">
      <c r="B76" s="77"/>
      <c r="C76" s="77"/>
      <c r="D76" s="77"/>
      <c r="E76" s="77"/>
      <c r="F76" s="77"/>
      <c r="G76" s="77"/>
      <c r="H76" s="77"/>
      <c r="I76" s="77"/>
    </row>
  </sheetData>
  <mergeCells count="13">
    <mergeCell ref="BA63:BM63"/>
    <mergeCell ref="I1:P1"/>
    <mergeCell ref="I3:P3"/>
    <mergeCell ref="B76:I76"/>
    <mergeCell ref="B75:I75"/>
    <mergeCell ref="A5:P5"/>
    <mergeCell ref="A20:A22"/>
    <mergeCell ref="A24:A27"/>
    <mergeCell ref="B24:B27"/>
    <mergeCell ref="I2:P2"/>
    <mergeCell ref="I4:P4"/>
    <mergeCell ref="BA65:BM65"/>
    <mergeCell ref="BA67:BM67"/>
  </mergeCells>
  <pageMargins left="0.70866141732283472" right="0.70866141732283472" top="0.74803149606299213" bottom="0.74803149606299213" header="0" footer="0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2023-07-18T08:59:11Z</cp:lastPrinted>
  <dcterms:created xsi:type="dcterms:W3CDTF">2022-09-28T12:50:16Z</dcterms:created>
  <dcterms:modified xsi:type="dcterms:W3CDTF">2023-07-18T08:59:13Z</dcterms:modified>
</cp:coreProperties>
</file>