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Приложение 1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'Приложение 1'!$A:$A</definedName>
    <definedName name="_xlnm.Print_Area" localSheetId="0">'Приложение 1'!$A$1:$CH$25</definedName>
  </definedNames>
  <calcPr calcId="124519"/>
</workbook>
</file>

<file path=xl/calcChain.xml><?xml version="1.0" encoding="utf-8"?>
<calcChain xmlns="http://schemas.openxmlformats.org/spreadsheetml/2006/main">
  <c r="U21" i="1"/>
  <c r="U12"/>
  <c r="T12" l="1"/>
  <c r="S12"/>
  <c r="S21"/>
  <c r="T21"/>
  <c r="U22"/>
  <c r="T22"/>
  <c r="S22"/>
  <c r="R22"/>
  <c r="AF12"/>
  <c r="AF11"/>
  <c r="BB21"/>
  <c r="BB20"/>
  <c r="BB19"/>
  <c r="BB18"/>
  <c r="BB17"/>
  <c r="BB16"/>
  <c r="BB15"/>
  <c r="BB12"/>
  <c r="BP12"/>
  <c r="BP16"/>
  <c r="BP17"/>
  <c r="BP18"/>
  <c r="BP19"/>
  <c r="BP20"/>
  <c r="BP21"/>
  <c r="BP22"/>
  <c r="BP15"/>
  <c r="BL12"/>
  <c r="BH20"/>
  <c r="BH15"/>
  <c r="BH16"/>
  <c r="BI16"/>
  <c r="BH17"/>
  <c r="BI17"/>
  <c r="BH18"/>
  <c r="I11"/>
  <c r="J12"/>
  <c r="J16" l="1"/>
  <c r="BB22"/>
  <c r="BA22"/>
  <c r="BA21"/>
  <c r="BA20"/>
  <c r="BA19"/>
  <c r="BA18"/>
  <c r="BA17"/>
  <c r="BA16"/>
  <c r="BA15"/>
  <c r="AF22" l="1"/>
  <c r="AF21"/>
  <c r="AF20"/>
  <c r="AF19"/>
  <c r="AF18"/>
  <c r="AF17"/>
  <c r="AF16"/>
  <c r="AF15"/>
  <c r="V22"/>
  <c r="V20"/>
  <c r="V19"/>
  <c r="V18"/>
  <c r="V17"/>
  <c r="V16"/>
  <c r="V15"/>
  <c r="V21" l="1"/>
  <c r="BF13" l="1"/>
  <c r="BE13"/>
  <c r="BD13"/>
  <c r="BD12"/>
  <c r="BF11"/>
  <c r="BE11"/>
  <c r="BD11"/>
  <c r="C22" l="1"/>
  <c r="B22" s="1"/>
  <c r="C21"/>
  <c r="B21" s="1"/>
  <c r="C20"/>
  <c r="B20" s="1"/>
  <c r="C19"/>
  <c r="B19" s="1"/>
  <c r="C18"/>
  <c r="B18" s="1"/>
  <c r="C17"/>
  <c r="B17" s="1"/>
  <c r="C16"/>
  <c r="C15"/>
  <c r="B15" s="1"/>
  <c r="L13"/>
  <c r="L11" s="1"/>
  <c r="K13"/>
  <c r="K11" s="1"/>
  <c r="J13"/>
  <c r="I13"/>
  <c r="H13"/>
  <c r="H11" s="1"/>
  <c r="G13"/>
  <c r="G11" s="1"/>
  <c r="F13"/>
  <c r="F11" s="1"/>
  <c r="E13"/>
  <c r="E11" s="1"/>
  <c r="D13"/>
  <c r="D11" s="1"/>
  <c r="C12"/>
  <c r="B12" s="1"/>
  <c r="C13" l="1"/>
  <c r="C11"/>
  <c r="B11" s="1"/>
  <c r="B16"/>
  <c r="B13" s="1"/>
  <c r="B14" l="1"/>
  <c r="BA12"/>
  <c r="BC11" l="1"/>
  <c r="BR13" l="1"/>
  <c r="BS13"/>
  <c r="BT13"/>
  <c r="BU13"/>
  <c r="BV13"/>
  <c r="BW13"/>
  <c r="BX13"/>
  <c r="BY13"/>
  <c r="BZ13"/>
  <c r="CA13"/>
  <c r="CB13"/>
  <c r="CD13"/>
  <c r="CE13"/>
  <c r="CF13"/>
  <c r="CG13"/>
  <c r="CH13"/>
  <c r="AG13"/>
  <c r="AH13"/>
  <c r="AI13"/>
  <c r="AJ13"/>
  <c r="AK13"/>
  <c r="AA12" l="1"/>
  <c r="V12"/>
  <c r="V11" s="1"/>
  <c r="BG19"/>
  <c r="CC20"/>
  <c r="CC19"/>
  <c r="CC18"/>
  <c r="CC17"/>
  <c r="CC16"/>
  <c r="CC15"/>
  <c r="CC23"/>
  <c r="CC24"/>
  <c r="CC25"/>
  <c r="CC22"/>
  <c r="CC12"/>
  <c r="CC21"/>
  <c r="CC13" s="1"/>
  <c r="AE13" l="1"/>
  <c r="BQ21"/>
  <c r="BQ20"/>
  <c r="BQ19"/>
  <c r="BQ18"/>
  <c r="BQ17"/>
  <c r="BQ16"/>
  <c r="BQ15"/>
  <c r="BM22"/>
  <c r="BM20"/>
  <c r="BM19"/>
  <c r="BM18"/>
  <c r="BM17"/>
  <c r="BM16"/>
  <c r="BM15"/>
  <c r="BM21"/>
  <c r="BG17" l="1"/>
  <c r="BG18"/>
  <c r="BG22"/>
  <c r="BG12"/>
  <c r="BL15"/>
  <c r="BG15"/>
  <c r="BC15"/>
  <c r="AP15"/>
  <c r="AM15"/>
  <c r="AG15"/>
  <c r="W15"/>
  <c r="P15"/>
  <c r="O15"/>
  <c r="BL16"/>
  <c r="BG16"/>
  <c r="BC16"/>
  <c r="AP16"/>
  <c r="AM16"/>
  <c r="AG16"/>
  <c r="W16"/>
  <c r="P16"/>
  <c r="O16"/>
  <c r="BL17"/>
  <c r="BC17"/>
  <c r="AP17"/>
  <c r="AM17"/>
  <c r="AG17"/>
  <c r="W17"/>
  <c r="P17"/>
  <c r="O17"/>
  <c r="BL18"/>
  <c r="BC18"/>
  <c r="AP18"/>
  <c r="AM18"/>
  <c r="AG18"/>
  <c r="W18"/>
  <c r="P18"/>
  <c r="O18"/>
  <c r="BL19"/>
  <c r="BC19"/>
  <c r="AP19"/>
  <c r="AM19"/>
  <c r="AG19"/>
  <c r="W19"/>
  <c r="P19"/>
  <c r="O19"/>
  <c r="BL20"/>
  <c r="BG20"/>
  <c r="BC20"/>
  <c r="AP20"/>
  <c r="AM20"/>
  <c r="AG20"/>
  <c r="W20"/>
  <c r="P20"/>
  <c r="O20"/>
  <c r="BL21"/>
  <c r="BG21"/>
  <c r="BC21"/>
  <c r="AP21"/>
  <c r="AM21"/>
  <c r="AG21"/>
  <c r="W21"/>
  <c r="O21"/>
  <c r="P21"/>
  <c r="BQ22"/>
  <c r="BL22"/>
  <c r="BC22"/>
  <c r="BB13"/>
  <c r="AP22"/>
  <c r="AM22"/>
  <c r="AG22"/>
  <c r="W22"/>
  <c r="P22"/>
  <c r="CD11"/>
  <c r="CC11"/>
  <c r="CB11"/>
  <c r="CA11"/>
  <c r="BZ11"/>
  <c r="BY11"/>
  <c r="BX11"/>
  <c r="BW11"/>
  <c r="BV11"/>
  <c r="BU11"/>
  <c r="BT11"/>
  <c r="BS11"/>
  <c r="BR11"/>
  <c r="BO13"/>
  <c r="BO11" s="1"/>
  <c r="BN13"/>
  <c r="BN11" s="1"/>
  <c r="BM13"/>
  <c r="BM11" s="1"/>
  <c r="BK13"/>
  <c r="BK11" s="1"/>
  <c r="BJ13"/>
  <c r="BJ11" s="1"/>
  <c r="BI13"/>
  <c r="BI11" s="1"/>
  <c r="AZ13"/>
  <c r="AZ11" s="1"/>
  <c r="AY13"/>
  <c r="AY11" s="1"/>
  <c r="AX13"/>
  <c r="AX11" s="1"/>
  <c r="AW13"/>
  <c r="AW11" s="1"/>
  <c r="AT13"/>
  <c r="AT11" s="1"/>
  <c r="AS13"/>
  <c r="AR13"/>
  <c r="AR11" s="1"/>
  <c r="AQ13"/>
  <c r="AQ11" s="1"/>
  <c r="AO13"/>
  <c r="AO11" s="1"/>
  <c r="AN13"/>
  <c r="AJ11"/>
  <c r="AI11"/>
  <c r="AH11"/>
  <c r="AE11"/>
  <c r="AD13"/>
  <c r="AD11" s="1"/>
  <c r="AA13"/>
  <c r="AA11" s="1"/>
  <c r="Z13"/>
  <c r="Z11" s="1"/>
  <c r="Y13"/>
  <c r="X13"/>
  <c r="X11" s="1"/>
  <c r="U13"/>
  <c r="U11" s="1"/>
  <c r="T13"/>
  <c r="T11" s="1"/>
  <c r="S13"/>
  <c r="S11" s="1"/>
  <c r="BQ12"/>
  <c r="BC12"/>
  <c r="AP12"/>
  <c r="AM12"/>
  <c r="AG12"/>
  <c r="Q12"/>
  <c r="O12"/>
  <c r="P12"/>
  <c r="AS11"/>
  <c r="AK11"/>
  <c r="Y11"/>
  <c r="AM13" l="1"/>
  <c r="P11"/>
  <c r="BP13"/>
  <c r="BP11" s="1"/>
  <c r="BH13"/>
  <c r="BG13" s="1"/>
  <c r="Q22"/>
  <c r="V13"/>
  <c r="BB11"/>
  <c r="AV13"/>
  <c r="AV11" s="1"/>
  <c r="O11"/>
  <c r="AP11"/>
  <c r="BC13"/>
  <c r="O22"/>
  <c r="AP13"/>
  <c r="N22"/>
  <c r="N12"/>
  <c r="M12" s="1"/>
  <c r="AL12" s="1"/>
  <c r="AU12" s="1"/>
  <c r="BA13"/>
  <c r="BA11" s="1"/>
  <c r="AN11"/>
  <c r="AM11" s="1"/>
  <c r="BH11" l="1"/>
  <c r="BG11" s="1"/>
  <c r="M22"/>
  <c r="R11"/>
  <c r="AL22" l="1"/>
  <c r="AU22" l="1"/>
  <c r="BQ25" l="1"/>
  <c r="BL25"/>
  <c r="BG25"/>
  <c r="BC25"/>
  <c r="AP25"/>
  <c r="AM25"/>
  <c r="AG25"/>
  <c r="AB25"/>
  <c r="W25"/>
  <c r="R25"/>
  <c r="Q25"/>
  <c r="P25"/>
  <c r="O25"/>
  <c r="N25"/>
  <c r="C25"/>
  <c r="B25" s="1"/>
  <c r="BQ24"/>
  <c r="BL24"/>
  <c r="BG24"/>
  <c r="BC24"/>
  <c r="AP24"/>
  <c r="AM24"/>
  <c r="AG24"/>
  <c r="AB24"/>
  <c r="W24"/>
  <c r="R24"/>
  <c r="Q24"/>
  <c r="P24"/>
  <c r="O24"/>
  <c r="N24"/>
  <c r="C24"/>
  <c r="B24" s="1"/>
  <c r="BQ23"/>
  <c r="BL23"/>
  <c r="BG23"/>
  <c r="BC23"/>
  <c r="AP23"/>
  <c r="AM23"/>
  <c r="AG23"/>
  <c r="AB23"/>
  <c r="W23"/>
  <c r="R23"/>
  <c r="Q23"/>
  <c r="P23"/>
  <c r="O23"/>
  <c r="N23"/>
  <c r="C23"/>
  <c r="B23" s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N21"/>
  <c r="Q21"/>
  <c r="BQ13" l="1"/>
  <c r="BQ11" s="1"/>
  <c r="AG11"/>
  <c r="M23"/>
  <c r="AL23" s="1"/>
  <c r="AU23" s="1"/>
  <c r="R13"/>
  <c r="M24"/>
  <c r="AL24" s="1"/>
  <c r="AU24" s="1"/>
  <c r="M25"/>
  <c r="AL25" s="1"/>
  <c r="AU25" s="1"/>
  <c r="O13"/>
  <c r="W13"/>
  <c r="W11" s="1"/>
  <c r="P13"/>
  <c r="BL13"/>
  <c r="BL11" s="1"/>
  <c r="M21"/>
  <c r="AL21" l="1"/>
  <c r="AU21" l="1"/>
  <c r="N20"/>
  <c r="Q20"/>
  <c r="M20" l="1"/>
  <c r="AL20" l="1"/>
  <c r="AU20" l="1"/>
  <c r="N19"/>
  <c r="Q19"/>
  <c r="M19" l="1"/>
  <c r="AL19" l="1"/>
  <c r="AU19" l="1"/>
  <c r="N18"/>
  <c r="Q18"/>
  <c r="M18" l="1"/>
  <c r="AL18" l="1"/>
  <c r="AU18" l="1"/>
  <c r="N17"/>
  <c r="Q17"/>
  <c r="M17" l="1"/>
  <c r="AL17" l="1"/>
  <c r="AU17" l="1"/>
  <c r="N16"/>
  <c r="Q16"/>
  <c r="M16" l="1"/>
  <c r="AL16" l="1"/>
  <c r="AU16" l="1"/>
  <c r="AC13"/>
  <c r="AC11" s="1"/>
  <c r="N15"/>
  <c r="N13" s="1"/>
  <c r="AB13"/>
  <c r="Q15"/>
  <c r="Q13" l="1"/>
  <c r="M15"/>
  <c r="N11"/>
  <c r="AF13"/>
  <c r="AB11" s="1"/>
  <c r="AL15" l="1"/>
  <c r="AL13" s="1"/>
  <c r="M13"/>
  <c r="Q11" l="1"/>
  <c r="M11" s="1"/>
  <c r="AL11"/>
  <c r="AU15"/>
  <c r="AU13" s="1"/>
  <c r="AU11" s="1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<sst xmlns="http://schemas.openxmlformats.org/spreadsheetml/2006/main" count="143" uniqueCount="91">
  <si>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</si>
  <si>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</si>
  <si>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</si>
  <si>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</si>
  <si>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</si>
  <si>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</si>
  <si>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</si>
  <si>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</si>
  <si>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</si>
  <si>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</si>
  <si>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t>ИТОГО РАСХОДЫ</t>
  </si>
  <si>
    <t xml:space="preserve">Расходы за счет субвенций, субсидий, иных МБТ  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</si>
  <si>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</si>
  <si>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</si>
  <si>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</si>
  <si>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</si>
  <si>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</si>
  <si>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</si>
  <si>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</si>
  <si>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</si>
  <si>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</si>
  <si>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</si>
  <si>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</si>
  <si>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</si>
  <si>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</si>
  <si>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</si>
  <si>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</si>
  <si>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</si>
  <si>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</si>
  <si>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</si>
  <si>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</si>
  <si>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</si>
  <si>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</si>
  <si>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</si>
  <si>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</si>
  <si>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</si>
  <si>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</si>
  <si>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</si>
  <si>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</si>
  <si>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</si>
  <si>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</si>
  <si>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</si>
  <si>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</si>
  <si>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</si>
  <si>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</si>
  <si>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</si>
  <si>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Расходы за счет доходов от оказания платных услуг и компенсации затрат государства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</si>
  <si>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</si>
  <si>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</si>
  <si>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</si>
  <si>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</si>
  <si>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</si>
  <si>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</si>
  <si>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</si>
  <si>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</si>
  <si>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</si>
  <si>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</si>
  <si>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</si>
  <si>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</si>
  <si>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</si>
  <si>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</si>
  <si>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</si>
  <si>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</si>
  <si>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</si>
  <si>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</si>
  <si>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</si>
  <si>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</si>
  <si>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</si>
  <si>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</si>
  <si>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</si>
  <si>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</si>
  <si>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</si>
  <si>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</si>
  <si>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</si>
  <si>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</si>
  <si>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</si>
  <si>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</si>
  <si>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</si>
  <si>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</si>
  <si>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</si>
  <si>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</si>
  <si>
    <r>
      <t xml:space="preserve">Расходы на содержание органов местного самоуправления </t>
    </r>
    <r>
      <rPr>
        <sz val="6"/>
        <rFont val="Times New Roman"/>
        <family val="1"/>
        <charset val="204"/>
      </rPr>
      <t>(без ВР123 и КОСГУ251, 0102-0106+0200+1006(24222 и 2К082))</t>
    </r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</si>
  <si>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  <r>
      <rPr>
        <sz val="6"/>
        <rFont val="Times New Roman"/>
        <family val="1"/>
        <charset val="204"/>
      </rPr>
      <t xml:space="preserve"> ("+"22-52990, 22-55550,"-"МБТ от поселений )</t>
    </r>
  </si>
  <si>
    <t>Руководитель финансового органа</t>
  </si>
  <si>
    <t>Д.А.Хлебаев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</si>
  <si>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</si>
  <si>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**с учетом задолженности по казенным, бюджетным и автономным учреждениям</t>
  </si>
  <si>
    <t>Исполнитель:</t>
  </si>
  <si>
    <t>Степанова Н.В.</t>
  </si>
  <si>
    <t xml:space="preserve">тел. 8 (814-55) 3-37-96     </t>
  </si>
  <si>
    <t>Основные параметры исполнения консолидированного бюджета Муезерского  муниципального района по состоянию на 01 октября 2023г.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</si>
</sst>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7" fillId="0" borderId="0"/>
    <xf numFmtId="0" fontId="9" fillId="0" borderId="0"/>
    <xf numFmtId="0" fontId="10" fillId="0" borderId="0"/>
    <xf numFmtId="0" fontId="18" fillId="0" borderId="0"/>
    <xf numFmtId="165" fontId="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0" borderId="0"/>
    <xf numFmtId="0" fontId="10" fillId="0" borderId="0"/>
    <xf numFmtId="0" fontId="10" fillId="0" borderId="0"/>
    <xf numFmtId="0" fontId="10" fillId="0" borderId="0"/>
  </cellStyleXfs>
  <cellXfs count="120">
    <xf numFmtId="0" fontId="0" fillId="0" borderId="0" xfId="0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0" fontId="13" fillId="0" borderId="0" xfId="12" applyFont="1"/>
    <xf numFmtId="0" fontId="13" fillId="2" borderId="0" xfId="12" applyFont="1" applyFill="1"/>
    <xf numFmtId="0" fontId="13" fillId="3" borderId="0" xfId="12" applyFont="1" applyFill="1"/>
    <xf numFmtId="0" fontId="14" fillId="0" borderId="0" xfId="12" applyFont="1"/>
    <xf numFmtId="0" fontId="14" fillId="2" borderId="0" xfId="12" applyFont="1" applyFill="1"/>
    <xf numFmtId="0" fontId="14" fillId="3" borderId="0" xfId="12" applyFont="1" applyFill="1"/>
    <xf numFmtId="0" fontId="2" fillId="0" borderId="1" xfId="12" applyFont="1" applyBorder="1" applyAlignment="1">
      <alignment horizontal="center"/>
    </xf>
    <xf numFmtId="0" fontId="13" fillId="0" borderId="0" xfId="12" applyFont="1" applyAlignment="1"/>
    <xf numFmtId="0" fontId="7" fillId="0" borderId="1" xfId="12" applyFont="1" applyBorder="1" applyAlignment="1">
      <alignment horizontal="center" wrapText="1"/>
    </xf>
    <xf numFmtId="0" fontId="13" fillId="0" borderId="0" xfId="12" applyFont="1" applyFill="1"/>
    <xf numFmtId="0" fontId="14" fillId="0" borderId="0" xfId="12" applyFont="1" applyFill="1"/>
    <xf numFmtId="0" fontId="8" fillId="0" borderId="1" xfId="4" applyFont="1" applyFill="1" applyBorder="1" applyAlignment="1">
      <alignment horizontal="center"/>
    </xf>
    <xf numFmtId="0" fontId="13" fillId="0" borderId="1" xfId="12" applyFont="1" applyFill="1" applyBorder="1"/>
    <xf numFmtId="0" fontId="13" fillId="0" borderId="1" xfId="12" applyFont="1" applyBorder="1"/>
    <xf numFmtId="167" fontId="13" fillId="0" borderId="1" xfId="12" applyNumberFormat="1" applyFont="1" applyFill="1" applyBorder="1" applyAlignment="1">
      <alignment horizontal="center"/>
    </xf>
    <xf numFmtId="0" fontId="13" fillId="2" borderId="1" xfId="12" applyFont="1" applyFill="1" applyBorder="1"/>
    <xf numFmtId="3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3" borderId="1" xfId="12" applyFont="1" applyFill="1" applyBorder="1"/>
    <xf numFmtId="0" fontId="13" fillId="3" borderId="0" xfId="12" applyFont="1" applyFill="1" applyAlignment="1">
      <alignment horizontal="center" vertical="top" wrapText="1"/>
    </xf>
    <xf numFmtId="167" fontId="13" fillId="0" borderId="3" xfId="12" applyNumberFormat="1" applyFont="1" applyBorder="1"/>
    <xf numFmtId="0" fontId="13" fillId="0" borderId="3" xfId="12" applyFont="1" applyBorder="1"/>
    <xf numFmtId="3" fontId="2" fillId="0" borderId="1" xfId="4" applyNumberFormat="1" applyFont="1" applyFill="1" applyBorder="1" applyAlignment="1">
      <alignment horizontal="center" vertical="center" wrapText="1"/>
    </xf>
    <xf numFmtId="167" fontId="13" fillId="2" borderId="0" xfId="12" applyNumberFormat="1" applyFont="1" applyFill="1"/>
    <xf numFmtId="167" fontId="21" fillId="0" borderId="1" xfId="12" applyNumberFormat="1" applyFont="1" applyFill="1" applyBorder="1" applyAlignment="1">
      <alignment horizontal="center"/>
    </xf>
    <xf numFmtId="167" fontId="13" fillId="0" borderId="0" xfId="12" applyNumberFormat="1" applyFont="1"/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5" fillId="0" borderId="1" xfId="12" applyFont="1" applyFill="1" applyBorder="1"/>
    <xf numFmtId="0" fontId="19" fillId="0" borderId="1" xfId="0" applyFont="1" applyFill="1" applyBorder="1" applyAlignment="1" applyProtection="1">
      <alignment vertical="center" wrapText="1"/>
      <protection locked="0"/>
    </xf>
    <xf numFmtId="0" fontId="7" fillId="0" borderId="1" xfId="12" applyFont="1" applyBorder="1" applyAlignment="1">
      <alignment horizontal="center" vertical="center" wrapText="1"/>
    </xf>
    <xf numFmtId="0" fontId="22" fillId="0" borderId="0" xfId="12" applyFont="1" applyAlignment="1">
      <alignment horizontal="center" wrapText="1"/>
    </xf>
    <xf numFmtId="167" fontId="13" fillId="0" borderId="1" xfId="12" applyNumberFormat="1" applyFont="1" applyBorder="1" applyAlignment="1">
      <alignment horizontal="left"/>
    </xf>
    <xf numFmtId="167" fontId="13" fillId="0" borderId="1" xfId="12" applyNumberFormat="1" applyFont="1" applyBorder="1" applyAlignment="1">
      <alignment horizontal="center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3" fontId="2" fillId="0" borderId="1" xfId="4" applyNumberFormat="1" applyFont="1" applyBorder="1" applyAlignment="1">
      <alignment horizontal="center" vertical="center" wrapText="1"/>
    </xf>
    <xf numFmtId="0" fontId="15" fillId="5" borderId="1" xfId="12" applyFont="1" applyFill="1" applyBorder="1" applyAlignment="1">
      <alignment horizontal="center"/>
    </xf>
    <xf numFmtId="167" fontId="13" fillId="0" borderId="1" xfId="20" applyNumberFormat="1" applyFont="1" applyFill="1" applyBorder="1" applyAlignment="1" applyProtection="1">
      <alignment horizontal="center"/>
      <protection hidden="1"/>
    </xf>
    <xf numFmtId="167" fontId="13" fillId="0" borderId="1" xfId="19" applyNumberFormat="1" applyFont="1" applyFill="1" applyBorder="1" applyAlignment="1" applyProtection="1">
      <alignment horizontal="center"/>
      <protection hidden="1"/>
    </xf>
    <xf numFmtId="167" fontId="13" fillId="0" borderId="1" xfId="18" applyNumberFormat="1" applyFont="1" applyFill="1" applyBorder="1" applyAlignment="1" applyProtection="1">
      <alignment horizontal="center"/>
      <protection hidden="1"/>
    </xf>
    <xf numFmtId="167" fontId="13" fillId="0" borderId="1" xfId="17" applyNumberFormat="1" applyFont="1" applyFill="1" applyBorder="1" applyAlignment="1" applyProtection="1">
      <alignment horizontal="center"/>
      <protection hidden="1"/>
    </xf>
    <xf numFmtId="167" fontId="13" fillId="3" borderId="1" xfId="12" applyNumberFormat="1" applyFont="1" applyFill="1" applyBorder="1" applyAlignment="1">
      <alignment horizontal="center"/>
    </xf>
    <xf numFmtId="167" fontId="13" fillId="0" borderId="1" xfId="22" applyNumberFormat="1" applyFont="1" applyFill="1" applyBorder="1" applyAlignment="1" applyProtection="1">
      <alignment horizontal="center"/>
      <protection hidden="1"/>
    </xf>
    <xf numFmtId="167" fontId="13" fillId="0" borderId="1" xfId="21" applyNumberFormat="1" applyFont="1" applyFill="1" applyBorder="1" applyAlignment="1" applyProtection="1">
      <alignment horizontal="center"/>
      <protection hidden="1"/>
    </xf>
    <xf numFmtId="167" fontId="13" fillId="11" borderId="1" xfId="12" applyNumberFormat="1" applyFont="1" applyFill="1" applyBorder="1" applyAlignment="1">
      <alignment horizontal="center"/>
    </xf>
    <xf numFmtId="167" fontId="13" fillId="2" borderId="1" xfId="12" applyNumberFormat="1" applyFont="1" applyFill="1" applyBorder="1" applyAlignment="1">
      <alignment horizontal="center"/>
    </xf>
    <xf numFmtId="167" fontId="13" fillId="11" borderId="1" xfId="12" applyNumberFormat="1" applyFont="1" applyFill="1" applyBorder="1" applyAlignment="1">
      <alignment horizontal="center" wrapText="1"/>
    </xf>
    <xf numFmtId="167" fontId="13" fillId="11" borderId="5" xfId="23" applyNumberFormat="1" applyFont="1" applyFill="1" applyBorder="1" applyAlignment="1" applyProtection="1">
      <alignment horizontal="center"/>
      <protection hidden="1"/>
    </xf>
    <xf numFmtId="167" fontId="13" fillId="11" borderId="5" xfId="24" applyNumberFormat="1" applyFont="1" applyFill="1" applyBorder="1" applyAlignment="1" applyProtection="1">
      <alignment horizontal="center"/>
      <protection hidden="1"/>
    </xf>
    <xf numFmtId="167" fontId="13" fillId="11" borderId="5" xfId="25" applyNumberFormat="1" applyFont="1" applyFill="1" applyBorder="1" applyAlignment="1" applyProtection="1">
      <alignment horizontal="center"/>
      <protection hidden="1"/>
    </xf>
    <xf numFmtId="0" fontId="15" fillId="5" borderId="1" xfId="12" applyFont="1" applyFill="1" applyBorder="1" applyAlignment="1">
      <alignment horizontal="center"/>
    </xf>
    <xf numFmtId="3" fontId="2" fillId="0" borderId="1" xfId="4" applyNumberFormat="1" applyFont="1" applyBorder="1" applyAlignment="1">
      <alignment horizontal="center" vertical="center" wrapText="1"/>
    </xf>
    <xf numFmtId="0" fontId="14" fillId="0" borderId="0" xfId="12" applyFont="1" applyAlignment="1">
      <alignment horizontal="center" vertical="top" wrapText="1"/>
    </xf>
    <xf numFmtId="0" fontId="15" fillId="5" borderId="5" xfId="12" applyFont="1" applyFill="1" applyBorder="1" applyAlignment="1">
      <alignment horizontal="center"/>
    </xf>
    <xf numFmtId="0" fontId="15" fillId="5" borderId="6" xfId="12" applyFont="1" applyFill="1" applyBorder="1" applyAlignment="1">
      <alignment horizontal="center"/>
    </xf>
    <xf numFmtId="0" fontId="15" fillId="5" borderId="4" xfId="12" applyFont="1" applyFill="1" applyBorder="1" applyAlignment="1">
      <alignment horizontal="center"/>
    </xf>
    <xf numFmtId="0" fontId="16" fillId="6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  <xf numFmtId="0" fontId="13" fillId="0" borderId="13" xfId="12" applyFont="1" applyBorder="1" applyAlignment="1">
      <alignment horizontal="right"/>
    </xf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  <xf numFmtId="0" fontId="15" fillId="4" borderId="5" xfId="12" applyFont="1" applyFill="1" applyBorder="1" applyAlignment="1">
      <alignment horizontal="center"/>
    </xf>
    <xf numFmtId="0" fontId="15" fillId="4" borderId="6" xfId="12" applyFont="1" applyFill="1" applyBorder="1" applyAlignment="1">
      <alignment horizontal="center"/>
    </xf>
    <xf numFmtId="0" fontId="15" fillId="4" borderId="4" xfId="12" applyFont="1" applyFill="1" applyBorder="1" applyAlignment="1">
      <alignment horizontal="center"/>
    </xf>
    <xf numFmtId="0" fontId="7" fillId="0" borderId="1" xfId="12" applyFont="1" applyBorder="1" applyAlignment="1">
      <alignment horizontal="center" vertical="center" wrapText="1"/>
    </xf>
    <xf numFmtId="0" fontId="15" fillId="10" borderId="9" xfId="12" applyFont="1" applyFill="1" applyBorder="1" applyAlignment="1">
      <alignment horizontal="center"/>
    </xf>
    <xf numFmtId="0" fontId="15" fillId="10" borderId="0" xfId="12" applyFont="1" applyFill="1" applyBorder="1" applyAlignment="1">
      <alignment horizontal="center"/>
    </xf>
    <xf numFmtId="0" fontId="13" fillId="0" borderId="5" xfId="12" applyFont="1" applyBorder="1" applyAlignment="1">
      <alignment horizontal="center" vertical="center" wrapText="1"/>
    </xf>
    <xf numFmtId="0" fontId="13" fillId="0" borderId="6" xfId="12" applyFont="1" applyBorder="1" applyAlignment="1">
      <alignment horizontal="center" vertical="center" wrapText="1"/>
    </xf>
    <xf numFmtId="0" fontId="13" fillId="0" borderId="4" xfId="12" applyFont="1" applyBorder="1" applyAlignment="1">
      <alignment horizontal="center" vertical="center" wrapText="1"/>
    </xf>
    <xf numFmtId="0" fontId="15" fillId="0" borderId="8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12" xfId="12" applyFont="1" applyBorder="1" applyAlignment="1">
      <alignment horizontal="center" vertical="center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4" xfId="12" applyFont="1" applyBorder="1" applyAlignment="1">
      <alignment horizontal="center" vertical="center" wrapText="1"/>
    </xf>
    <xf numFmtId="0" fontId="15" fillId="9" borderId="5" xfId="12" applyFont="1" applyFill="1" applyBorder="1" applyAlignment="1">
      <alignment horizontal="center"/>
    </xf>
    <xf numFmtId="0" fontId="15" fillId="9" borderId="6" xfId="12" applyFont="1" applyFill="1" applyBorder="1" applyAlignment="1">
      <alignment horizontal="center"/>
    </xf>
    <xf numFmtId="0" fontId="15" fillId="9" borderId="4" xfId="12" applyFont="1" applyFill="1" applyBorder="1" applyAlignment="1">
      <alignment horizontal="center"/>
    </xf>
    <xf numFmtId="3" fontId="3" fillId="0" borderId="1" xfId="4" applyNumberFormat="1" applyFont="1" applyBorder="1" applyAlignment="1">
      <alignment horizontal="center" vertical="center" wrapText="1"/>
    </xf>
    <xf numFmtId="0" fontId="13" fillId="0" borderId="7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3" xfId="12" applyFont="1" applyBorder="1" applyAlignment="1">
      <alignment horizontal="center" vertical="center" wrapText="1"/>
    </xf>
    <xf numFmtId="3" fontId="7" fillId="0" borderId="1" xfId="4" applyNumberFormat="1" applyFont="1" applyFill="1" applyBorder="1" applyAlignment="1">
      <alignment horizontal="center" vertical="center" wrapText="1"/>
    </xf>
    <xf numFmtId="0" fontId="13" fillId="0" borderId="8" xfId="12" applyFont="1" applyBorder="1" applyAlignment="1">
      <alignment horizontal="center" vertical="center" wrapText="1"/>
    </xf>
    <xf numFmtId="0" fontId="13" fillId="0" borderId="9" xfId="12" applyFont="1" applyBorder="1" applyAlignment="1">
      <alignment horizontal="center" vertical="center" wrapText="1"/>
    </xf>
    <xf numFmtId="0" fontId="13" fillId="0" borderId="10" xfId="12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15" fillId="9" borderId="1" xfId="12" applyFont="1" applyFill="1" applyBorder="1" applyAlignment="1">
      <alignment horizontal="center"/>
    </xf>
    <xf numFmtId="3" fontId="2" fillId="3" borderId="1" xfId="4" applyNumberFormat="1" applyFont="1" applyFill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3" fillId="0" borderId="1" xfId="12" applyFont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3" fontId="2" fillId="0" borderId="7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0" fontId="16" fillId="6" borderId="0" xfId="0" applyFont="1" applyFill="1" applyAlignment="1">
      <alignment horizontal="left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0" fontId="13" fillId="0" borderId="0" xfId="12" applyFont="1" applyAlignment="1">
      <alignment horizontal="center" vertical="top" wrapText="1"/>
    </xf>
    <xf numFmtId="0" fontId="22" fillId="0" borderId="0" xfId="12" applyFont="1" applyAlignment="1">
      <alignment horizont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/>
    </xf>
    <xf numFmtId="0" fontId="15" fillId="8" borderId="1" xfId="12" applyFont="1" applyFill="1" applyBorder="1" applyAlignment="1">
      <alignment horizontal="center"/>
    </xf>
    <xf numFmtId="0" fontId="15" fillId="7" borderId="1" xfId="12" applyFont="1" applyFill="1" applyBorder="1" applyAlignment="1">
      <alignment horizontal="center"/>
    </xf>
    <xf numFmtId="0" fontId="7" fillId="0" borderId="1" xfId="12" applyFont="1" applyFill="1" applyBorder="1" applyAlignment="1">
      <alignment horizontal="center" vertical="center" wrapText="1"/>
    </xf>
    <xf numFmtId="167" fontId="14" fillId="0" borderId="0" xfId="12" applyNumberFormat="1" applyFont="1"/>
  </cellXfs>
  <cellStyles count="27">
    <cellStyle name="Денежный 2" xfId="1"/>
    <cellStyle name="для вывода показателей" xfId="2"/>
    <cellStyle name="Обычный" xfId="0" builtinId="0"/>
    <cellStyle name="Обычный 10" xfId="19"/>
    <cellStyle name="Обычный 11" xfId="20"/>
    <cellStyle name="Обычный 12" xfId="23"/>
    <cellStyle name="Обычный 13" xfId="24"/>
    <cellStyle name="Обычный 14" xfId="25"/>
    <cellStyle name="Обычный 15" xfId="26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 6" xfId="21"/>
    <cellStyle name="Обычный 7" xfId="22"/>
    <cellStyle name="Обычный 8" xfId="17"/>
    <cellStyle name="Обычный 9" xfId="18"/>
    <cellStyle name="Финансовый 2" xfId="16"/>
  </cellStyles>
  <dxfs count="0"/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J31"/>
  <sheetViews>
    <sheetView tabSelected="1" topLeftCell="A4" zoomScaleSheetLayoutView="100" workbookViewId="0">
      <pane xSplit="1" ySplit="7" topLeftCell="B11" activePane="bottomRight" state="frozen"/>
      <selection activeCell="A4" sqref="A4"/>
      <selection pane="topRight" activeCell="B4" sqref="B4"/>
      <selection pane="bottomLeft" activeCell="A11" sqref="A11"/>
      <selection pane="bottomRight" activeCell="A16" sqref="A16"/>
    </sheetView>
  </sheetViews>
  <sheetFormatPr defaultRowHeight="15"/>
  <cols>
    <col min="1" max="1" width="34.42578125" style="13" customWidth="1"/>
    <col min="2" max="2" width="10.7109375" style="4" customWidth="1"/>
    <col min="3" max="3" width="9.7109375" style="4" customWidth="1"/>
    <col min="4" max="4" width="10.140625" style="4" customWidth="1"/>
    <col min="5" max="5" width="10.42578125" style="4" customWidth="1"/>
    <col min="6" max="8" width="9" style="4" customWidth="1"/>
    <col min="9" max="9" width="9.7109375" style="4" customWidth="1"/>
    <col min="10" max="10" width="10.42578125" style="4" customWidth="1"/>
    <col min="11" max="12" width="8.28515625" style="4" customWidth="1"/>
    <col min="13" max="13" width="9.5703125" style="4" customWidth="1"/>
    <col min="14" max="14" width="10.28515625" style="4" customWidth="1"/>
    <col min="15" max="15" width="9" style="4" customWidth="1"/>
    <col min="16" max="16" width="8.7109375" style="4" customWidth="1"/>
    <col min="17" max="17" width="10.140625" style="4" customWidth="1"/>
    <col min="18" max="18" width="11.5703125" style="5" customWidth="1"/>
    <col min="19" max="19" width="9.5703125" style="5" customWidth="1"/>
    <col min="20" max="20" width="12.7109375" style="5" customWidth="1"/>
    <col min="21" max="21" width="8.5703125" style="5" customWidth="1"/>
    <col min="22" max="22" width="10.28515625" style="5" customWidth="1"/>
    <col min="23" max="23" width="8.140625" style="6" customWidth="1"/>
    <col min="24" max="24" width="7.140625" style="6" customWidth="1"/>
    <col min="25" max="25" width="6" style="6" customWidth="1"/>
    <col min="26" max="26" width="6.5703125" style="6" customWidth="1"/>
    <col min="27" max="27" width="9" style="6" customWidth="1"/>
    <col min="28" max="28" width="10.7109375" style="4" customWidth="1"/>
    <col min="29" max="30" width="8.7109375" style="4" customWidth="1"/>
    <col min="31" max="31" width="7.140625" style="4" customWidth="1"/>
    <col min="32" max="32" width="9" style="4" customWidth="1"/>
    <col min="33" max="37" width="7.140625" style="4" customWidth="1"/>
    <col min="38" max="38" width="10.140625" style="4" customWidth="1"/>
    <col min="39" max="39" width="8.140625" style="4" customWidth="1"/>
    <col min="40" max="40" width="9" style="4" customWidth="1"/>
    <col min="41" max="41" width="8.42578125" style="4" customWidth="1"/>
    <col min="42" max="42" width="9" style="4" customWidth="1"/>
    <col min="43" max="44" width="8.42578125" style="4" customWidth="1"/>
    <col min="45" max="46" width="8" style="4" customWidth="1"/>
    <col min="47" max="47" width="11" style="4" customWidth="1"/>
    <col min="48" max="48" width="10.28515625" style="4" customWidth="1"/>
    <col min="49" max="49" width="8.5703125" style="4" customWidth="1"/>
    <col min="50" max="50" width="8.85546875" style="4" customWidth="1"/>
    <col min="51" max="51" width="8" style="4" customWidth="1"/>
    <col min="52" max="52" width="7" style="4" customWidth="1"/>
    <col min="53" max="53" width="7.7109375" style="4" customWidth="1"/>
    <col min="54" max="54" width="7" style="4" customWidth="1"/>
    <col min="55" max="55" width="9.28515625" style="4" customWidth="1"/>
    <col min="56" max="56" width="14.42578125" style="4" customWidth="1"/>
    <col min="57" max="57" width="10.5703125" style="4" customWidth="1"/>
    <col min="58" max="58" width="8.140625" style="4" customWidth="1"/>
    <col min="59" max="59" width="9.42578125" style="4" customWidth="1"/>
    <col min="60" max="60" width="14.42578125" style="4" customWidth="1"/>
    <col min="61" max="61" width="7.85546875" style="4" customWidth="1"/>
    <col min="62" max="62" width="9.28515625" style="4" customWidth="1"/>
    <col min="63" max="63" width="8.28515625" style="4" customWidth="1"/>
    <col min="64" max="64" width="8.7109375" style="4" customWidth="1"/>
    <col min="65" max="66" width="8.140625" style="4" customWidth="1"/>
    <col min="67" max="67" width="8.28515625" style="4" customWidth="1"/>
    <col min="68" max="68" width="10" style="4" customWidth="1"/>
    <col min="69" max="69" width="8.28515625" style="4" customWidth="1"/>
    <col min="70" max="70" width="8" style="4" customWidth="1"/>
    <col min="71" max="83" width="5.5703125" style="4" customWidth="1"/>
    <col min="84" max="86" width="4.85546875" style="4" customWidth="1"/>
    <col min="87" max="16384" width="9.140625" style="4"/>
  </cols>
  <sheetData>
    <row r="1" spans="1:88">
      <c r="J1" s="106" t="s">
        <v>66</v>
      </c>
      <c r="K1" s="106"/>
      <c r="L1" s="106"/>
    </row>
    <row r="2" spans="1:88" ht="15" customHeight="1">
      <c r="J2" s="60" t="s">
        <v>69</v>
      </c>
      <c r="K2" s="60"/>
      <c r="L2" s="60"/>
    </row>
    <row r="3" spans="1:88" s="7" customFormat="1" ht="33" customHeight="1">
      <c r="A3" s="14"/>
      <c r="B3" s="56" t="s">
        <v>90</v>
      </c>
      <c r="C3" s="56"/>
      <c r="D3" s="56"/>
      <c r="E3" s="56"/>
      <c r="F3" s="56"/>
      <c r="G3" s="56"/>
      <c r="H3" s="56"/>
      <c r="I3" s="56"/>
      <c r="J3" s="60"/>
      <c r="K3" s="60"/>
      <c r="L3" s="60"/>
      <c r="R3" s="8"/>
      <c r="S3" s="8"/>
      <c r="T3" s="8"/>
      <c r="U3" s="8"/>
      <c r="V3" s="8"/>
      <c r="W3" s="9"/>
      <c r="X3" s="9"/>
      <c r="Y3" s="9"/>
      <c r="Z3" s="9"/>
      <c r="AA3" s="9"/>
    </row>
    <row r="4" spans="1:88" s="7" customFormat="1" ht="15.75">
      <c r="A4" s="14"/>
      <c r="J4" s="60"/>
      <c r="K4" s="60"/>
      <c r="L4" s="60"/>
      <c r="N4" s="119"/>
      <c r="R4" s="8"/>
      <c r="S4" s="8"/>
      <c r="T4" s="8"/>
      <c r="U4" s="8"/>
      <c r="V4" s="8"/>
      <c r="W4" s="9"/>
      <c r="X4" s="9"/>
      <c r="Y4" s="9"/>
      <c r="Z4" s="9"/>
      <c r="AA4" s="9"/>
    </row>
    <row r="5" spans="1:88">
      <c r="F5" s="28"/>
      <c r="K5" s="64" t="s">
        <v>52</v>
      </c>
      <c r="L5" s="64"/>
      <c r="N5" s="28"/>
      <c r="T5" s="26"/>
    </row>
    <row r="6" spans="1:88" ht="15" customHeight="1">
      <c r="A6" s="96"/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57" t="s">
        <v>1</v>
      </c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9"/>
      <c r="AB6" s="54" t="s">
        <v>2</v>
      </c>
      <c r="AC6" s="54"/>
      <c r="AD6" s="54"/>
      <c r="AE6" s="54"/>
      <c r="AF6" s="54"/>
      <c r="AG6" s="40"/>
      <c r="AH6" s="40"/>
      <c r="AI6" s="40"/>
      <c r="AJ6" s="40"/>
      <c r="AK6" s="40"/>
      <c r="AL6" s="112" t="s">
        <v>3</v>
      </c>
      <c r="AM6" s="116" t="s">
        <v>6</v>
      </c>
      <c r="AN6" s="116"/>
      <c r="AO6" s="116"/>
      <c r="AP6" s="116"/>
      <c r="AQ6" s="116"/>
      <c r="AR6" s="116"/>
      <c r="AS6" s="116"/>
      <c r="AT6" s="116"/>
      <c r="AU6" s="116"/>
      <c r="AV6" s="68" t="s">
        <v>4</v>
      </c>
      <c r="AW6" s="69"/>
      <c r="AX6" s="69"/>
      <c r="AY6" s="69"/>
      <c r="AZ6" s="69"/>
      <c r="BA6" s="69"/>
      <c r="BB6" s="70"/>
      <c r="BC6" s="117" t="s">
        <v>5</v>
      </c>
      <c r="BD6" s="117"/>
      <c r="BE6" s="117"/>
      <c r="BF6" s="117"/>
      <c r="BG6" s="117"/>
      <c r="BH6" s="117"/>
      <c r="BI6" s="117"/>
      <c r="BJ6" s="117"/>
      <c r="BK6" s="83" t="s">
        <v>58</v>
      </c>
      <c r="BL6" s="84"/>
      <c r="BM6" s="84"/>
      <c r="BN6" s="84"/>
      <c r="BO6" s="84"/>
      <c r="BP6" s="85"/>
      <c r="BQ6" s="72" t="s">
        <v>51</v>
      </c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11"/>
      <c r="CJ6" s="11"/>
    </row>
    <row r="7" spans="1:88" ht="24.75" customHeight="1">
      <c r="A7" s="97"/>
      <c r="B7" s="62" t="s">
        <v>7</v>
      </c>
      <c r="C7" s="55" t="s">
        <v>8</v>
      </c>
      <c r="D7" s="63" t="s">
        <v>9</v>
      </c>
      <c r="E7" s="63"/>
      <c r="F7" s="63"/>
      <c r="G7" s="63"/>
      <c r="H7" s="63"/>
      <c r="I7" s="63"/>
      <c r="J7" s="55" t="s">
        <v>82</v>
      </c>
      <c r="K7" s="55" t="s">
        <v>43</v>
      </c>
      <c r="L7" s="86" t="s">
        <v>42</v>
      </c>
      <c r="M7" s="61" t="s">
        <v>10</v>
      </c>
      <c r="N7" s="103" t="s">
        <v>9</v>
      </c>
      <c r="O7" s="103"/>
      <c r="P7" s="103"/>
      <c r="Q7" s="103"/>
      <c r="R7" s="101" t="s">
        <v>78</v>
      </c>
      <c r="S7" s="109" t="s">
        <v>9</v>
      </c>
      <c r="T7" s="109"/>
      <c r="U7" s="109"/>
      <c r="V7" s="109"/>
      <c r="W7" s="107" t="s">
        <v>46</v>
      </c>
      <c r="X7" s="108" t="s">
        <v>9</v>
      </c>
      <c r="Y7" s="108"/>
      <c r="Z7" s="108"/>
      <c r="AA7" s="108"/>
      <c r="AB7" s="86" t="s">
        <v>11</v>
      </c>
      <c r="AC7" s="103" t="s">
        <v>9</v>
      </c>
      <c r="AD7" s="103"/>
      <c r="AE7" s="103"/>
      <c r="AF7" s="103"/>
      <c r="AG7" s="86" t="s">
        <v>53</v>
      </c>
      <c r="AH7" s="103" t="s">
        <v>9</v>
      </c>
      <c r="AI7" s="103"/>
      <c r="AJ7" s="103"/>
      <c r="AK7" s="103"/>
      <c r="AL7" s="65"/>
      <c r="AM7" s="102" t="s">
        <v>14</v>
      </c>
      <c r="AN7" s="102"/>
      <c r="AO7" s="102"/>
      <c r="AP7" s="102" t="s">
        <v>15</v>
      </c>
      <c r="AQ7" s="102"/>
      <c r="AR7" s="102"/>
      <c r="AS7" s="87" t="s">
        <v>16</v>
      </c>
      <c r="AT7" s="102" t="s">
        <v>17</v>
      </c>
      <c r="AU7" s="87" t="s">
        <v>18</v>
      </c>
      <c r="AV7" s="86" t="s">
        <v>81</v>
      </c>
      <c r="AW7" s="103" t="s">
        <v>9</v>
      </c>
      <c r="AX7" s="103"/>
      <c r="AY7" s="103"/>
      <c r="AZ7" s="103"/>
      <c r="BA7" s="103"/>
      <c r="BB7" s="103"/>
      <c r="BC7" s="118" t="s">
        <v>12</v>
      </c>
      <c r="BD7" s="115" t="s">
        <v>9</v>
      </c>
      <c r="BE7" s="115"/>
      <c r="BF7" s="115"/>
      <c r="BG7" s="113" t="s">
        <v>13</v>
      </c>
      <c r="BH7" s="115" t="s">
        <v>9</v>
      </c>
      <c r="BI7" s="115"/>
      <c r="BJ7" s="115"/>
      <c r="BK7" s="77" t="s">
        <v>59</v>
      </c>
      <c r="BL7" s="78"/>
      <c r="BM7" s="78"/>
      <c r="BN7" s="78"/>
      <c r="BO7" s="78"/>
      <c r="BP7" s="79"/>
      <c r="BQ7" s="91" t="s">
        <v>49</v>
      </c>
      <c r="BR7" s="74" t="s">
        <v>39</v>
      </c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6"/>
      <c r="CG7" s="91" t="s">
        <v>50</v>
      </c>
      <c r="CH7" s="12" t="s">
        <v>39</v>
      </c>
    </row>
    <row r="8" spans="1:88" ht="15" customHeight="1">
      <c r="A8" s="97"/>
      <c r="B8" s="62"/>
      <c r="C8" s="55"/>
      <c r="D8" s="65" t="s">
        <v>19</v>
      </c>
      <c r="E8" s="66" t="s">
        <v>39</v>
      </c>
      <c r="F8" s="67"/>
      <c r="G8" s="65" t="s">
        <v>20</v>
      </c>
      <c r="H8" s="25" t="s">
        <v>9</v>
      </c>
      <c r="I8" s="55" t="s">
        <v>48</v>
      </c>
      <c r="J8" s="55"/>
      <c r="K8" s="55"/>
      <c r="L8" s="55"/>
      <c r="M8" s="62"/>
      <c r="N8" s="55" t="s">
        <v>21</v>
      </c>
      <c r="O8" s="55" t="s">
        <v>22</v>
      </c>
      <c r="P8" s="55" t="s">
        <v>23</v>
      </c>
      <c r="Q8" s="104" t="s">
        <v>24</v>
      </c>
      <c r="R8" s="101"/>
      <c r="S8" s="101" t="s">
        <v>21</v>
      </c>
      <c r="T8" s="101" t="s">
        <v>25</v>
      </c>
      <c r="U8" s="101" t="s">
        <v>26</v>
      </c>
      <c r="V8" s="101" t="s">
        <v>80</v>
      </c>
      <c r="W8" s="100"/>
      <c r="X8" s="100" t="s">
        <v>21</v>
      </c>
      <c r="Y8" s="100" t="s">
        <v>25</v>
      </c>
      <c r="Z8" s="100" t="s">
        <v>26</v>
      </c>
      <c r="AA8" s="100" t="s">
        <v>24</v>
      </c>
      <c r="AB8" s="55"/>
      <c r="AC8" s="55" t="s">
        <v>21</v>
      </c>
      <c r="AD8" s="55" t="s">
        <v>25</v>
      </c>
      <c r="AE8" s="55" t="s">
        <v>27</v>
      </c>
      <c r="AF8" s="55" t="s">
        <v>79</v>
      </c>
      <c r="AG8" s="55"/>
      <c r="AH8" s="55" t="s">
        <v>21</v>
      </c>
      <c r="AI8" s="55" t="s">
        <v>25</v>
      </c>
      <c r="AJ8" s="55" t="s">
        <v>27</v>
      </c>
      <c r="AK8" s="55" t="s">
        <v>24</v>
      </c>
      <c r="AL8" s="65"/>
      <c r="AM8" s="71" t="s">
        <v>29</v>
      </c>
      <c r="AN8" s="71" t="s">
        <v>30</v>
      </c>
      <c r="AO8" s="71" t="s">
        <v>31</v>
      </c>
      <c r="AP8" s="71" t="s">
        <v>29</v>
      </c>
      <c r="AQ8" s="71" t="s">
        <v>30</v>
      </c>
      <c r="AR8" s="71" t="s">
        <v>31</v>
      </c>
      <c r="AS8" s="88"/>
      <c r="AT8" s="102"/>
      <c r="AU8" s="88"/>
      <c r="AV8" s="55"/>
      <c r="AW8" s="55" t="s">
        <v>21</v>
      </c>
      <c r="AX8" s="10" t="s">
        <v>28</v>
      </c>
      <c r="AY8" s="55" t="s">
        <v>25</v>
      </c>
      <c r="AZ8" s="10" t="s">
        <v>28</v>
      </c>
      <c r="BA8" s="55" t="s">
        <v>24</v>
      </c>
      <c r="BB8" s="10" t="s">
        <v>28</v>
      </c>
      <c r="BC8" s="118"/>
      <c r="BD8" s="90" t="s">
        <v>68</v>
      </c>
      <c r="BE8" s="90" t="s">
        <v>67</v>
      </c>
      <c r="BF8" s="90" t="s">
        <v>54</v>
      </c>
      <c r="BG8" s="113"/>
      <c r="BH8" s="90" t="s">
        <v>68</v>
      </c>
      <c r="BI8" s="90" t="s">
        <v>67</v>
      </c>
      <c r="BJ8" s="90" t="s">
        <v>54</v>
      </c>
      <c r="BK8" s="94" t="s">
        <v>64</v>
      </c>
      <c r="BL8" s="94" t="s">
        <v>60</v>
      </c>
      <c r="BM8" s="37" t="s">
        <v>62</v>
      </c>
      <c r="BN8" s="94" t="s">
        <v>61</v>
      </c>
      <c r="BO8" s="29" t="s">
        <v>62</v>
      </c>
      <c r="BP8" s="94" t="s">
        <v>65</v>
      </c>
      <c r="BQ8" s="92"/>
      <c r="BR8" s="102" t="s">
        <v>55</v>
      </c>
      <c r="BS8" s="102" t="s">
        <v>56</v>
      </c>
      <c r="BT8" s="102" t="s">
        <v>57</v>
      </c>
      <c r="BU8" s="71" t="s">
        <v>44</v>
      </c>
      <c r="BV8" s="80" t="s">
        <v>39</v>
      </c>
      <c r="BW8" s="81"/>
      <c r="BX8" s="82"/>
      <c r="BY8" s="71" t="s">
        <v>45</v>
      </c>
      <c r="BZ8" s="80" t="s">
        <v>39</v>
      </c>
      <c r="CA8" s="81"/>
      <c r="CB8" s="82"/>
      <c r="CC8" s="71" t="s">
        <v>47</v>
      </c>
      <c r="CD8" s="80" t="s">
        <v>39</v>
      </c>
      <c r="CE8" s="81"/>
      <c r="CF8" s="82"/>
      <c r="CG8" s="92"/>
      <c r="CH8" s="71" t="s">
        <v>47</v>
      </c>
    </row>
    <row r="9" spans="1:88" ht="290.25" customHeight="1">
      <c r="A9" s="98"/>
      <c r="B9" s="62"/>
      <c r="C9" s="55"/>
      <c r="D9" s="65"/>
      <c r="E9" s="25" t="s">
        <v>40</v>
      </c>
      <c r="F9" s="25" t="s">
        <v>41</v>
      </c>
      <c r="G9" s="65"/>
      <c r="H9" s="25" t="s">
        <v>32</v>
      </c>
      <c r="I9" s="55"/>
      <c r="J9" s="55"/>
      <c r="K9" s="55"/>
      <c r="L9" s="55"/>
      <c r="M9" s="62"/>
      <c r="N9" s="55"/>
      <c r="O9" s="55"/>
      <c r="P9" s="55"/>
      <c r="Q9" s="105"/>
      <c r="R9" s="101"/>
      <c r="S9" s="101"/>
      <c r="T9" s="101"/>
      <c r="U9" s="101"/>
      <c r="V9" s="101"/>
      <c r="W9" s="100"/>
      <c r="X9" s="100"/>
      <c r="Y9" s="100"/>
      <c r="Z9" s="100"/>
      <c r="AA9" s="100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65"/>
      <c r="AM9" s="71"/>
      <c r="AN9" s="71"/>
      <c r="AO9" s="71"/>
      <c r="AP9" s="71"/>
      <c r="AQ9" s="71"/>
      <c r="AR9" s="71"/>
      <c r="AS9" s="89"/>
      <c r="AT9" s="102"/>
      <c r="AU9" s="89"/>
      <c r="AV9" s="55"/>
      <c r="AW9" s="55"/>
      <c r="AX9" s="39" t="s">
        <v>33</v>
      </c>
      <c r="AY9" s="55"/>
      <c r="AZ9" s="39" t="s">
        <v>33</v>
      </c>
      <c r="BA9" s="55"/>
      <c r="BB9" s="39" t="s">
        <v>33</v>
      </c>
      <c r="BC9" s="118"/>
      <c r="BD9" s="90"/>
      <c r="BE9" s="90"/>
      <c r="BF9" s="90"/>
      <c r="BG9" s="114"/>
      <c r="BH9" s="90"/>
      <c r="BI9" s="90"/>
      <c r="BJ9" s="90"/>
      <c r="BK9" s="95"/>
      <c r="BL9" s="95"/>
      <c r="BM9" s="38" t="s">
        <v>63</v>
      </c>
      <c r="BN9" s="95"/>
      <c r="BO9" s="30" t="s">
        <v>63</v>
      </c>
      <c r="BP9" s="95"/>
      <c r="BQ9" s="93"/>
      <c r="BR9" s="102"/>
      <c r="BS9" s="102"/>
      <c r="BT9" s="102"/>
      <c r="BU9" s="71"/>
      <c r="BV9" s="33" t="s">
        <v>55</v>
      </c>
      <c r="BW9" s="33" t="s">
        <v>56</v>
      </c>
      <c r="BX9" s="33" t="s">
        <v>57</v>
      </c>
      <c r="BY9" s="71"/>
      <c r="BZ9" s="33" t="s">
        <v>55</v>
      </c>
      <c r="CA9" s="33" t="s">
        <v>56</v>
      </c>
      <c r="CB9" s="33" t="s">
        <v>57</v>
      </c>
      <c r="CC9" s="71"/>
      <c r="CD9" s="33" t="s">
        <v>55</v>
      </c>
      <c r="CE9" s="33" t="s">
        <v>56</v>
      </c>
      <c r="CF9" s="33" t="s">
        <v>57</v>
      </c>
      <c r="CG9" s="93"/>
      <c r="CH9" s="71"/>
    </row>
    <row r="10" spans="1:88" ht="12" customHeight="1">
      <c r="A10" s="15">
        <v>1</v>
      </c>
      <c r="B10" s="1">
        <f t="shared" ref="B10:AG10" si="0">A10+1</f>
        <v>2</v>
      </c>
      <c r="C10" s="1">
        <f t="shared" si="0"/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>I10+1</f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2">
        <f t="shared" si="0"/>
        <v>18</v>
      </c>
      <c r="S10" s="2">
        <f t="shared" si="0"/>
        <v>19</v>
      </c>
      <c r="T10" s="2">
        <f t="shared" si="0"/>
        <v>20</v>
      </c>
      <c r="U10" s="2">
        <f t="shared" si="0"/>
        <v>21</v>
      </c>
      <c r="V10" s="2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1">
        <f t="shared" si="0"/>
        <v>28</v>
      </c>
      <c r="AC10" s="1">
        <f t="shared" si="0"/>
        <v>29</v>
      </c>
      <c r="AD10" s="1">
        <f t="shared" si="0"/>
        <v>30</v>
      </c>
      <c r="AE10" s="1">
        <f t="shared" si="0"/>
        <v>31</v>
      </c>
      <c r="AF10" s="1">
        <f t="shared" si="0"/>
        <v>32</v>
      </c>
      <c r="AG10" s="1">
        <f t="shared" si="0"/>
        <v>33</v>
      </c>
      <c r="AH10" s="1">
        <f t="shared" ref="AH10:BM10" si="1">AG10+1</f>
        <v>34</v>
      </c>
      <c r="AI10" s="1">
        <f t="shared" si="1"/>
        <v>35</v>
      </c>
      <c r="AJ10" s="1">
        <f t="shared" si="1"/>
        <v>36</v>
      </c>
      <c r="AK10" s="1">
        <f t="shared" si="1"/>
        <v>37</v>
      </c>
      <c r="AL10" s="1">
        <f t="shared" si="1"/>
        <v>38</v>
      </c>
      <c r="AM10" s="1">
        <f t="shared" si="1"/>
        <v>39</v>
      </c>
      <c r="AN10" s="1">
        <f t="shared" si="1"/>
        <v>40</v>
      </c>
      <c r="AO10" s="1">
        <f t="shared" si="1"/>
        <v>41</v>
      </c>
      <c r="AP10" s="1">
        <f t="shared" si="1"/>
        <v>42</v>
      </c>
      <c r="AQ10" s="1">
        <f t="shared" si="1"/>
        <v>43</v>
      </c>
      <c r="AR10" s="1">
        <f t="shared" si="1"/>
        <v>44</v>
      </c>
      <c r="AS10" s="1">
        <f t="shared" si="1"/>
        <v>45</v>
      </c>
      <c r="AT10" s="1">
        <f t="shared" si="1"/>
        <v>46</v>
      </c>
      <c r="AU10" s="1">
        <f t="shared" si="1"/>
        <v>47</v>
      </c>
      <c r="AV10" s="1">
        <f t="shared" si="1"/>
        <v>48</v>
      </c>
      <c r="AW10" s="1">
        <f t="shared" si="1"/>
        <v>49</v>
      </c>
      <c r="AX10" s="1">
        <f t="shared" si="1"/>
        <v>50</v>
      </c>
      <c r="AY10" s="1">
        <f t="shared" si="1"/>
        <v>51</v>
      </c>
      <c r="AZ10" s="1">
        <f t="shared" si="1"/>
        <v>52</v>
      </c>
      <c r="BA10" s="1">
        <f t="shared" si="1"/>
        <v>53</v>
      </c>
      <c r="BB10" s="1">
        <f t="shared" si="1"/>
        <v>54</v>
      </c>
      <c r="BC10" s="1">
        <f t="shared" si="1"/>
        <v>55</v>
      </c>
      <c r="BD10" s="1">
        <f t="shared" si="1"/>
        <v>56</v>
      </c>
      <c r="BE10" s="1">
        <f t="shared" si="1"/>
        <v>57</v>
      </c>
      <c r="BF10" s="1">
        <f t="shared" si="1"/>
        <v>58</v>
      </c>
      <c r="BG10" s="1">
        <f t="shared" si="1"/>
        <v>59</v>
      </c>
      <c r="BH10" s="1">
        <f t="shared" si="1"/>
        <v>60</v>
      </c>
      <c r="BI10" s="1">
        <f t="shared" si="1"/>
        <v>61</v>
      </c>
      <c r="BJ10" s="1">
        <f t="shared" si="1"/>
        <v>62</v>
      </c>
      <c r="BK10" s="1">
        <f t="shared" si="1"/>
        <v>63</v>
      </c>
      <c r="BL10" s="1">
        <f t="shared" si="1"/>
        <v>64</v>
      </c>
      <c r="BM10" s="1">
        <f t="shared" si="1"/>
        <v>65</v>
      </c>
      <c r="BN10" s="1">
        <f t="shared" ref="BN10:CH10" si="2">BM10+1</f>
        <v>66</v>
      </c>
      <c r="BO10" s="1">
        <f t="shared" si="2"/>
        <v>67</v>
      </c>
      <c r="BP10" s="1">
        <f t="shared" si="2"/>
        <v>68</v>
      </c>
      <c r="BQ10" s="1">
        <f t="shared" si="2"/>
        <v>69</v>
      </c>
      <c r="BR10" s="1">
        <f t="shared" si="2"/>
        <v>70</v>
      </c>
      <c r="BS10" s="1">
        <f t="shared" si="2"/>
        <v>71</v>
      </c>
      <c r="BT10" s="1">
        <f t="shared" si="2"/>
        <v>72</v>
      </c>
      <c r="BU10" s="1">
        <f t="shared" si="2"/>
        <v>73</v>
      </c>
      <c r="BV10" s="1">
        <f t="shared" si="2"/>
        <v>74</v>
      </c>
      <c r="BW10" s="1">
        <f t="shared" si="2"/>
        <v>75</v>
      </c>
      <c r="BX10" s="1">
        <f t="shared" si="2"/>
        <v>76</v>
      </c>
      <c r="BY10" s="1">
        <f t="shared" si="2"/>
        <v>77</v>
      </c>
      <c r="BZ10" s="1">
        <f t="shared" si="2"/>
        <v>78</v>
      </c>
      <c r="CA10" s="1">
        <f t="shared" si="2"/>
        <v>79</v>
      </c>
      <c r="CB10" s="1">
        <f t="shared" si="2"/>
        <v>80</v>
      </c>
      <c r="CC10" s="1">
        <f t="shared" si="2"/>
        <v>81</v>
      </c>
      <c r="CD10" s="1">
        <f t="shared" si="2"/>
        <v>82</v>
      </c>
      <c r="CE10" s="1">
        <f t="shared" si="2"/>
        <v>83</v>
      </c>
      <c r="CF10" s="1">
        <f t="shared" si="2"/>
        <v>84</v>
      </c>
      <c r="CG10" s="1">
        <f t="shared" si="2"/>
        <v>85</v>
      </c>
      <c r="CH10" s="1">
        <f t="shared" si="2"/>
        <v>86</v>
      </c>
    </row>
    <row r="11" spans="1:88" ht="21.75" customHeight="1">
      <c r="A11" s="16" t="s">
        <v>34</v>
      </c>
      <c r="B11" s="36">
        <f>C11+J11+K11+L11</f>
        <v>354082.12984000001</v>
      </c>
      <c r="C11" s="36">
        <f>D11+G11+I11</f>
        <v>192868.78393999999</v>
      </c>
      <c r="D11" s="36">
        <f t="shared" ref="D11:L11" si="3">D12+D13</f>
        <v>60340.003219999999</v>
      </c>
      <c r="E11" s="36">
        <f t="shared" si="3"/>
        <v>43909.093940000006</v>
      </c>
      <c r="F11" s="36">
        <f t="shared" si="3"/>
        <v>11624.734129999999</v>
      </c>
      <c r="G11" s="36">
        <f>SUM(G12:G13)</f>
        <v>19511.140719999999</v>
      </c>
      <c r="H11" s="36">
        <f t="shared" si="3"/>
        <v>9527.095299999999</v>
      </c>
      <c r="I11" s="36">
        <f>I12-192</f>
        <v>113017.64</v>
      </c>
      <c r="J11" s="36">
        <v>160272.49</v>
      </c>
      <c r="K11" s="36">
        <f t="shared" si="3"/>
        <v>959.88292000000001</v>
      </c>
      <c r="L11" s="36">
        <f t="shared" si="3"/>
        <v>-19.02702</v>
      </c>
      <c r="M11" s="18">
        <f>N11+O11+P11+Q11</f>
        <v>373249.03457999998</v>
      </c>
      <c r="N11" s="18">
        <f>S11+X11+AC11</f>
        <v>182818.21364</v>
      </c>
      <c r="O11" s="18">
        <f>T11+Y11+AD11</f>
        <v>53597.460890000002</v>
      </c>
      <c r="P11" s="18">
        <f>U11+Z11+AE11</f>
        <v>46188.483830000005</v>
      </c>
      <c r="Q11" s="18">
        <f>V11+AA11+AF11</f>
        <v>90644.876220000006</v>
      </c>
      <c r="R11" s="49">
        <f>S11+T11+U11+V11</f>
        <v>202203.11499999999</v>
      </c>
      <c r="S11" s="49">
        <f t="shared" ref="S11:AE11" si="4">S12+S13</f>
        <v>83287.833239999993</v>
      </c>
      <c r="T11" s="49">
        <f t="shared" si="4"/>
        <v>24866.232709999997</v>
      </c>
      <c r="U11" s="49">
        <f t="shared" si="4"/>
        <v>45952.791080000003</v>
      </c>
      <c r="V11" s="49">
        <f>V12+V13-13308.74997</f>
        <v>48096.257969999991</v>
      </c>
      <c r="W11" s="45">
        <f t="shared" si="4"/>
        <v>11051.03528</v>
      </c>
      <c r="X11" s="45">
        <f t="shared" si="4"/>
        <v>150.16752</v>
      </c>
      <c r="Y11" s="45">
        <f>Y12+Z21</f>
        <v>45.3506</v>
      </c>
      <c r="Z11" s="45">
        <f t="shared" si="4"/>
        <v>229.86770000000001</v>
      </c>
      <c r="AA11" s="45">
        <f t="shared" si="4"/>
        <v>10625.649459999999</v>
      </c>
      <c r="AB11" s="18">
        <f>AC11+AD11+AE11+AF11</f>
        <v>159994.88430000001</v>
      </c>
      <c r="AC11" s="36">
        <f t="shared" si="4"/>
        <v>99380.212880000006</v>
      </c>
      <c r="AD11" s="36">
        <f t="shared" si="4"/>
        <v>28685.87758</v>
      </c>
      <c r="AE11" s="36">
        <f t="shared" si="4"/>
        <v>5.8250500000000001</v>
      </c>
      <c r="AF11" s="36">
        <f>AF12+AF13-6179.78435</f>
        <v>31922.968790000006</v>
      </c>
      <c r="AG11" s="18">
        <f t="shared" ref="AG11:AL11" si="5">AG12+AG13</f>
        <v>0</v>
      </c>
      <c r="AH11" s="36">
        <f t="shared" si="5"/>
        <v>0</v>
      </c>
      <c r="AI11" s="36">
        <f t="shared" si="5"/>
        <v>0</v>
      </c>
      <c r="AJ11" s="36">
        <f t="shared" si="5"/>
        <v>0</v>
      </c>
      <c r="AK11" s="36">
        <f t="shared" si="5"/>
        <v>0</v>
      </c>
      <c r="AL11" s="36">
        <f t="shared" si="5"/>
        <v>-19166.931169999993</v>
      </c>
      <c r="AM11" s="18">
        <f>AN11-AO11</f>
        <v>0</v>
      </c>
      <c r="AN11" s="18">
        <f t="shared" ref="AN11:CC11" si="6">AN12+AN13</f>
        <v>18000</v>
      </c>
      <c r="AO11" s="18">
        <f t="shared" si="6"/>
        <v>18000</v>
      </c>
      <c r="AP11" s="18">
        <f>AQ11-AR11</f>
        <v>21660</v>
      </c>
      <c r="AQ11" s="18">
        <f t="shared" si="6"/>
        <v>40000</v>
      </c>
      <c r="AR11" s="18">
        <f t="shared" si="6"/>
        <v>18340</v>
      </c>
      <c r="AS11" s="18">
        <f t="shared" si="6"/>
        <v>0</v>
      </c>
      <c r="AT11" s="18">
        <f t="shared" si="6"/>
        <v>0</v>
      </c>
      <c r="AU11" s="18">
        <f t="shared" si="6"/>
        <v>-2493.0688300000061</v>
      </c>
      <c r="AV11" s="18">
        <f t="shared" si="6"/>
        <v>35883.008270000006</v>
      </c>
      <c r="AW11" s="18">
        <f t="shared" si="6"/>
        <v>26390.130359999999</v>
      </c>
      <c r="AX11" s="18">
        <f t="shared" si="6"/>
        <v>1574.57998</v>
      </c>
      <c r="AY11" s="18">
        <f t="shared" si="6"/>
        <v>7235.7303499999998</v>
      </c>
      <c r="AZ11" s="18">
        <f t="shared" si="6"/>
        <v>458.43615</v>
      </c>
      <c r="BA11" s="18">
        <f t="shared" si="6"/>
        <v>2257.1475600000022</v>
      </c>
      <c r="BB11" s="18">
        <f t="shared" si="6"/>
        <v>337.53643000000011</v>
      </c>
      <c r="BC11" s="18">
        <f>BD11+BE11+BF11</f>
        <v>4847.5261300000002</v>
      </c>
      <c r="BD11" s="18">
        <f t="shared" ref="BD11:BF11" si="7">BD12+BD13</f>
        <v>2092.0311300000003</v>
      </c>
      <c r="BE11" s="18">
        <f t="shared" si="7"/>
        <v>2.5209999999999999</v>
      </c>
      <c r="BF11" s="18">
        <f t="shared" si="7"/>
        <v>2752.9740000000002</v>
      </c>
      <c r="BG11" s="18">
        <f>BH11+BI11+BJ11</f>
        <v>7340.6296899999988</v>
      </c>
      <c r="BH11" s="18">
        <f t="shared" si="6"/>
        <v>6653.0270499999988</v>
      </c>
      <c r="BI11" s="18">
        <f t="shared" si="6"/>
        <v>277.60838000000001</v>
      </c>
      <c r="BJ11" s="18">
        <f t="shared" si="6"/>
        <v>409.99426</v>
      </c>
      <c r="BK11" s="18">
        <f t="shared" si="6"/>
        <v>0</v>
      </c>
      <c r="BL11" s="18">
        <f t="shared" si="6"/>
        <v>13823.79413</v>
      </c>
      <c r="BM11" s="18">
        <f t="shared" si="6"/>
        <v>2199.06</v>
      </c>
      <c r="BN11" s="18">
        <f t="shared" si="6"/>
        <v>11094.35497</v>
      </c>
      <c r="BO11" s="18">
        <f t="shared" si="6"/>
        <v>2199.06</v>
      </c>
      <c r="BP11" s="18">
        <f t="shared" si="6"/>
        <v>2729.4391599999999</v>
      </c>
      <c r="BQ11" s="18">
        <f t="shared" si="6"/>
        <v>2051.0711700000002</v>
      </c>
      <c r="BR11" s="18">
        <f t="shared" si="6"/>
        <v>2051.0711700000002</v>
      </c>
      <c r="BS11" s="18">
        <f t="shared" si="6"/>
        <v>0</v>
      </c>
      <c r="BT11" s="18">
        <f t="shared" si="6"/>
        <v>0</v>
      </c>
      <c r="BU11" s="18">
        <f t="shared" si="6"/>
        <v>0</v>
      </c>
      <c r="BV11" s="18">
        <f t="shared" si="6"/>
        <v>0</v>
      </c>
      <c r="BW11" s="18">
        <f t="shared" si="6"/>
        <v>0</v>
      </c>
      <c r="BX11" s="18">
        <f t="shared" si="6"/>
        <v>0</v>
      </c>
      <c r="BY11" s="18">
        <f t="shared" si="6"/>
        <v>0</v>
      </c>
      <c r="BZ11" s="18">
        <f t="shared" si="6"/>
        <v>0</v>
      </c>
      <c r="CA11" s="18">
        <f t="shared" si="6"/>
        <v>0</v>
      </c>
      <c r="CB11" s="18">
        <f t="shared" si="6"/>
        <v>0</v>
      </c>
      <c r="CC11" s="18">
        <f t="shared" si="6"/>
        <v>0</v>
      </c>
      <c r="CD11" s="18">
        <f>CD12+CD13</f>
        <v>0</v>
      </c>
      <c r="CE11" s="18">
        <v>0</v>
      </c>
      <c r="CF11" s="18">
        <v>0</v>
      </c>
      <c r="CG11" s="18">
        <v>0</v>
      </c>
      <c r="CH11" s="18">
        <v>0</v>
      </c>
    </row>
    <row r="12" spans="1:88">
      <c r="A12" s="16" t="s">
        <v>35</v>
      </c>
      <c r="B12" s="36">
        <f>C12+J12+K12+L12</f>
        <v>327074.59070999996</v>
      </c>
      <c r="C12" s="36">
        <f>D12+G12+I12</f>
        <v>169812.67781999998</v>
      </c>
      <c r="D12" s="36">
        <v>40498.437819999999</v>
      </c>
      <c r="E12" s="36">
        <v>37535.202810000003</v>
      </c>
      <c r="F12" s="36">
        <v>0</v>
      </c>
      <c r="G12" s="36">
        <v>16104.6</v>
      </c>
      <c r="H12" s="36">
        <v>9162.6444499999998</v>
      </c>
      <c r="I12" s="36">
        <v>113209.64</v>
      </c>
      <c r="J12" s="36">
        <f>157261.91289+14.81</f>
        <v>157276.72289</v>
      </c>
      <c r="K12" s="36">
        <v>0</v>
      </c>
      <c r="L12" s="36">
        <v>-14.81</v>
      </c>
      <c r="M12" s="18">
        <f>N12+O12+P12+Q12</f>
        <v>347338.61127999995</v>
      </c>
      <c r="N12" s="18">
        <f>S12+X12+AC12</f>
        <v>170388.82361999998</v>
      </c>
      <c r="O12" s="18">
        <f>T12+Y12+AD12</f>
        <v>49938.852279999999</v>
      </c>
      <c r="P12" s="18">
        <f>U12+Z12+AE12</f>
        <v>40422.015060000005</v>
      </c>
      <c r="Q12" s="36">
        <f>V12+AA12+AF12+AK12</f>
        <v>86588.920320000005</v>
      </c>
      <c r="R12" s="49">
        <v>179118.85652999999</v>
      </c>
      <c r="S12" s="49">
        <f>55587.88443+8022.78887+7916.79538</f>
        <v>71527.468679999991</v>
      </c>
      <c r="T12" s="49">
        <f>16201.95179+2773.39234+2423.23608</f>
        <v>21398.580209999996</v>
      </c>
      <c r="U12" s="49">
        <f>33783.66496+6408.4824</f>
        <v>40192.147360000003</v>
      </c>
      <c r="V12" s="49">
        <f>R12-U12-T12-S12</f>
        <v>46000.660279999996</v>
      </c>
      <c r="W12" s="45">
        <v>11051.03528</v>
      </c>
      <c r="X12" s="45">
        <v>150.16752</v>
      </c>
      <c r="Y12" s="45">
        <v>45.3506</v>
      </c>
      <c r="Z12" s="45">
        <v>229.86770000000001</v>
      </c>
      <c r="AA12" s="45">
        <f>W12-Z12-Y12-X12</f>
        <v>10625.649459999999</v>
      </c>
      <c r="AB12" s="36">
        <v>157168.71947000001</v>
      </c>
      <c r="AC12" s="36">
        <v>98711.187420000002</v>
      </c>
      <c r="AD12" s="36">
        <v>28494.921470000001</v>
      </c>
      <c r="AE12" s="36">
        <v>0</v>
      </c>
      <c r="AF12" s="36">
        <f>AB12-AC12-AD12</f>
        <v>29962.610580000008</v>
      </c>
      <c r="AG12" s="18">
        <f>AH12+AI12+AJ12+AK12</f>
        <v>0</v>
      </c>
      <c r="AH12" s="36">
        <v>0</v>
      </c>
      <c r="AI12" s="36">
        <v>0</v>
      </c>
      <c r="AJ12" s="36">
        <v>0</v>
      </c>
      <c r="AK12" s="36">
        <v>0</v>
      </c>
      <c r="AL12" s="18">
        <f>B12-M12</f>
        <v>-20264.020569999993</v>
      </c>
      <c r="AM12" s="18">
        <f t="shared" ref="AM12:AM13" si="8">AN12-AO12</f>
        <v>0</v>
      </c>
      <c r="AN12" s="18">
        <v>18000</v>
      </c>
      <c r="AO12" s="18">
        <v>18000</v>
      </c>
      <c r="AP12" s="18">
        <f>AQ12-AR12</f>
        <v>21660</v>
      </c>
      <c r="AQ12" s="18">
        <v>40000</v>
      </c>
      <c r="AR12" s="18">
        <v>18340</v>
      </c>
      <c r="AS12" s="18">
        <v>0</v>
      </c>
      <c r="AT12" s="18">
        <v>0</v>
      </c>
      <c r="AU12" s="18">
        <f>-AL12-AM12-AP12</f>
        <v>-1395.9794300000067</v>
      </c>
      <c r="AV12" s="18">
        <v>21755.903630000001</v>
      </c>
      <c r="AW12" s="18">
        <v>16294.04653</v>
      </c>
      <c r="AX12" s="18">
        <v>905.55452000000002</v>
      </c>
      <c r="AY12" s="18">
        <v>4196.5486199999996</v>
      </c>
      <c r="AZ12" s="18">
        <v>267.48003999999997</v>
      </c>
      <c r="BA12" s="18">
        <f>AV12-AW12-AY12</f>
        <v>1265.3084800000015</v>
      </c>
      <c r="BB12" s="18">
        <f>1488.74594-AZ12-AX12</f>
        <v>315.71138000000008</v>
      </c>
      <c r="BC12" s="18">
        <f t="shared" ref="BC12:BC13" si="9">BD12+BE12+BF12</f>
        <v>665.57659000000012</v>
      </c>
      <c r="BD12" s="18">
        <f>665.57659-BE12-BF12</f>
        <v>-2089.9184100000002</v>
      </c>
      <c r="BE12" s="18">
        <v>2.5209999999999999</v>
      </c>
      <c r="BF12" s="18">
        <v>2752.9740000000002</v>
      </c>
      <c r="BG12" s="18">
        <f t="shared" ref="BG12:BG13" si="10">BH12+BI12+BJ12</f>
        <v>2061.55627</v>
      </c>
      <c r="BH12" s="18">
        <v>1543.5620100000001</v>
      </c>
      <c r="BI12" s="18">
        <v>108</v>
      </c>
      <c r="BJ12" s="18">
        <v>409.99426</v>
      </c>
      <c r="BK12" s="18">
        <v>0</v>
      </c>
      <c r="BL12" s="18">
        <f t="shared" ref="BL12" si="11">F12+BM12</f>
        <v>0</v>
      </c>
      <c r="BM12" s="18">
        <v>0</v>
      </c>
      <c r="BN12" s="18">
        <v>0</v>
      </c>
      <c r="BO12" s="18">
        <v>0</v>
      </c>
      <c r="BP12" s="18">
        <f t="shared" ref="BP12" si="12">BL12-BN12</f>
        <v>0</v>
      </c>
      <c r="BQ12" s="18">
        <f>BR12+BS12</f>
        <v>2051.0711700000002</v>
      </c>
      <c r="BR12" s="18">
        <v>2051.0711700000002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0</v>
      </c>
      <c r="CC12" s="18">
        <f>CD12</f>
        <v>0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</row>
    <row r="13" spans="1:88">
      <c r="A13" s="16" t="s">
        <v>36</v>
      </c>
      <c r="B13" s="36">
        <f t="shared" ref="B13:L13" si="13">SUM(B15:B25)</f>
        <v>46496.047019999998</v>
      </c>
      <c r="C13" s="36">
        <f t="shared" si="13"/>
        <v>36364.856119999997</v>
      </c>
      <c r="D13" s="36">
        <f t="shared" si="13"/>
        <v>19841.565399999999</v>
      </c>
      <c r="E13" s="36">
        <f t="shared" si="13"/>
        <v>6373.89113</v>
      </c>
      <c r="F13" s="36">
        <f t="shared" si="13"/>
        <v>11624.734129999999</v>
      </c>
      <c r="G13" s="36">
        <f t="shared" si="13"/>
        <v>3406.54072</v>
      </c>
      <c r="H13" s="36">
        <f t="shared" si="13"/>
        <v>364.45085</v>
      </c>
      <c r="I13" s="36">
        <f t="shared" si="13"/>
        <v>13116.75</v>
      </c>
      <c r="J13" s="36">
        <f t="shared" si="13"/>
        <v>9175.5249999999978</v>
      </c>
      <c r="K13" s="36">
        <f t="shared" si="13"/>
        <v>959.88292000000001</v>
      </c>
      <c r="L13" s="36">
        <f t="shared" si="13"/>
        <v>-4.2170199999999998</v>
      </c>
      <c r="M13" s="18">
        <f t="shared" ref="M13:AL13" si="14">SUM(M15:M25)</f>
        <v>45398.957620000001</v>
      </c>
      <c r="N13" s="18">
        <f t="shared" si="14"/>
        <v>12429.390019999999</v>
      </c>
      <c r="O13" s="18">
        <f t="shared" si="14"/>
        <v>3658.6086099999998</v>
      </c>
      <c r="P13" s="18">
        <f t="shared" si="14"/>
        <v>5766.4687699999995</v>
      </c>
      <c r="Q13" s="18">
        <f t="shared" si="14"/>
        <v>23544.49022</v>
      </c>
      <c r="R13" s="48">
        <f t="shared" si="14"/>
        <v>36393.008439999998</v>
      </c>
      <c r="S13" s="48">
        <f t="shared" si="14"/>
        <v>11760.36456</v>
      </c>
      <c r="T13" s="48">
        <f t="shared" si="14"/>
        <v>3467.6525000000001</v>
      </c>
      <c r="U13" s="48">
        <f t="shared" si="14"/>
        <v>5760.6437199999991</v>
      </c>
      <c r="V13" s="48">
        <f t="shared" si="14"/>
        <v>15404.347659999999</v>
      </c>
      <c r="W13" s="45">
        <f t="shared" si="14"/>
        <v>0</v>
      </c>
      <c r="X13" s="45">
        <f t="shared" si="14"/>
        <v>0</v>
      </c>
      <c r="Y13" s="45">
        <f t="shared" si="14"/>
        <v>0</v>
      </c>
      <c r="Z13" s="45">
        <f t="shared" si="14"/>
        <v>0</v>
      </c>
      <c r="AA13" s="45">
        <f t="shared" si="14"/>
        <v>0</v>
      </c>
      <c r="AB13" s="18">
        <f t="shared" si="14"/>
        <v>9005.9491799999996</v>
      </c>
      <c r="AC13" s="36">
        <f t="shared" si="14"/>
        <v>669.02546000000007</v>
      </c>
      <c r="AD13" s="36">
        <f t="shared" si="14"/>
        <v>190.95611</v>
      </c>
      <c r="AE13" s="36">
        <f t="shared" si="14"/>
        <v>5.8250500000000001</v>
      </c>
      <c r="AF13" s="36">
        <f t="shared" si="14"/>
        <v>8140.1425600000002</v>
      </c>
      <c r="AG13" s="36">
        <f t="shared" si="14"/>
        <v>0</v>
      </c>
      <c r="AH13" s="36">
        <f t="shared" si="14"/>
        <v>0</v>
      </c>
      <c r="AI13" s="36">
        <f t="shared" si="14"/>
        <v>0</v>
      </c>
      <c r="AJ13" s="36">
        <f t="shared" si="14"/>
        <v>0</v>
      </c>
      <c r="AK13" s="36">
        <f t="shared" si="14"/>
        <v>0</v>
      </c>
      <c r="AL13" s="36">
        <f t="shared" si="14"/>
        <v>1097.0893999999994</v>
      </c>
      <c r="AM13" s="18">
        <f t="shared" si="8"/>
        <v>0</v>
      </c>
      <c r="AN13" s="18">
        <f>SUM(AN15:AN25)</f>
        <v>0</v>
      </c>
      <c r="AO13" s="18">
        <f>SUM(AO15:AO25)</f>
        <v>0</v>
      </c>
      <c r="AP13" s="18">
        <f>AQ13-AR13</f>
        <v>0</v>
      </c>
      <c r="AQ13" s="18">
        <f t="shared" ref="AQ13:BB13" si="15">SUM(AQ15:AQ25)</f>
        <v>0</v>
      </c>
      <c r="AR13" s="18">
        <f t="shared" si="15"/>
        <v>0</v>
      </c>
      <c r="AS13" s="18">
        <f t="shared" si="15"/>
        <v>0</v>
      </c>
      <c r="AT13" s="18">
        <f t="shared" si="15"/>
        <v>0</v>
      </c>
      <c r="AU13" s="18">
        <f t="shared" si="15"/>
        <v>-1097.0893999999994</v>
      </c>
      <c r="AV13" s="18">
        <f t="shared" si="15"/>
        <v>14127.104640000001</v>
      </c>
      <c r="AW13" s="18">
        <f t="shared" si="15"/>
        <v>10096.08383</v>
      </c>
      <c r="AX13" s="18">
        <f t="shared" si="15"/>
        <v>669.02546000000007</v>
      </c>
      <c r="AY13" s="18">
        <f t="shared" si="15"/>
        <v>3039.1817299999998</v>
      </c>
      <c r="AZ13" s="18">
        <f t="shared" si="15"/>
        <v>190.95611</v>
      </c>
      <c r="BA13" s="18">
        <f t="shared" si="15"/>
        <v>991.83908000000042</v>
      </c>
      <c r="BB13" s="18">
        <f t="shared" si="15"/>
        <v>21.825050000000005</v>
      </c>
      <c r="BC13" s="18">
        <f t="shared" si="9"/>
        <v>4181.9495400000005</v>
      </c>
      <c r="BD13" s="18">
        <f t="shared" ref="BD13:BF13" si="16">SUM(BD15:BD25)</f>
        <v>4181.9495400000005</v>
      </c>
      <c r="BE13" s="18">
        <f t="shared" si="16"/>
        <v>0</v>
      </c>
      <c r="BF13" s="18">
        <f t="shared" si="16"/>
        <v>0</v>
      </c>
      <c r="BG13" s="18">
        <f t="shared" si="10"/>
        <v>5279.0734199999988</v>
      </c>
      <c r="BH13" s="18">
        <f t="shared" ref="BH13:CH13" si="17">SUM(BH15:BH25)</f>
        <v>5109.4650399999991</v>
      </c>
      <c r="BI13" s="18">
        <f t="shared" si="17"/>
        <v>169.60838000000001</v>
      </c>
      <c r="BJ13" s="18">
        <f t="shared" si="17"/>
        <v>0</v>
      </c>
      <c r="BK13" s="18">
        <f t="shared" si="17"/>
        <v>0</v>
      </c>
      <c r="BL13" s="18">
        <f t="shared" si="17"/>
        <v>13823.79413</v>
      </c>
      <c r="BM13" s="18">
        <f t="shared" si="17"/>
        <v>2199.06</v>
      </c>
      <c r="BN13" s="18">
        <f t="shared" si="17"/>
        <v>11094.35497</v>
      </c>
      <c r="BO13" s="18">
        <f t="shared" si="17"/>
        <v>2199.06</v>
      </c>
      <c r="BP13" s="18">
        <f t="shared" si="17"/>
        <v>2729.4391599999999</v>
      </c>
      <c r="BQ13" s="18">
        <f t="shared" si="17"/>
        <v>0</v>
      </c>
      <c r="BR13" s="18">
        <f t="shared" si="17"/>
        <v>0</v>
      </c>
      <c r="BS13" s="18">
        <f t="shared" si="17"/>
        <v>0</v>
      </c>
      <c r="BT13" s="18">
        <f t="shared" si="17"/>
        <v>0</v>
      </c>
      <c r="BU13" s="18">
        <f t="shared" si="17"/>
        <v>0</v>
      </c>
      <c r="BV13" s="18">
        <f t="shared" si="17"/>
        <v>0</v>
      </c>
      <c r="BW13" s="18">
        <f t="shared" si="17"/>
        <v>0</v>
      </c>
      <c r="BX13" s="18">
        <f t="shared" si="17"/>
        <v>0</v>
      </c>
      <c r="BY13" s="18">
        <f t="shared" si="17"/>
        <v>0</v>
      </c>
      <c r="BZ13" s="18">
        <f t="shared" si="17"/>
        <v>0</v>
      </c>
      <c r="CA13" s="18">
        <f t="shared" si="17"/>
        <v>0</v>
      </c>
      <c r="CB13" s="18">
        <f t="shared" si="17"/>
        <v>0</v>
      </c>
      <c r="CC13" s="18">
        <f t="shared" si="17"/>
        <v>0</v>
      </c>
      <c r="CD13" s="18">
        <f t="shared" si="17"/>
        <v>0</v>
      </c>
      <c r="CE13" s="18">
        <f t="shared" si="17"/>
        <v>0</v>
      </c>
      <c r="CF13" s="18">
        <f t="shared" si="17"/>
        <v>0</v>
      </c>
      <c r="CG13" s="18">
        <f t="shared" si="17"/>
        <v>0</v>
      </c>
      <c r="CH13" s="18">
        <f t="shared" si="17"/>
        <v>0</v>
      </c>
    </row>
    <row r="14" spans="1:88" ht="12" customHeight="1">
      <c r="A14" s="31" t="s">
        <v>37</v>
      </c>
      <c r="B14" s="36">
        <f>B12+B13-B11</f>
        <v>19488.50788999995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48"/>
      <c r="S14" s="48"/>
      <c r="T14" s="48"/>
      <c r="U14" s="48"/>
      <c r="V14" s="48"/>
      <c r="W14" s="45"/>
      <c r="X14" s="45"/>
      <c r="Y14" s="45"/>
      <c r="Z14" s="45"/>
      <c r="AA14" s="45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27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</row>
    <row r="15" spans="1:88" ht="15.75">
      <c r="A15" s="32" t="s">
        <v>77</v>
      </c>
      <c r="B15" s="36">
        <f>C15+J15+K15+L15</f>
        <v>2349.5099700000001</v>
      </c>
      <c r="C15" s="36">
        <f t="shared" ref="C15:C22" si="18">D15+G15+I15</f>
        <v>2202.7099699999999</v>
      </c>
      <c r="D15" s="36">
        <v>814.00996999999995</v>
      </c>
      <c r="E15" s="36">
        <v>144.23649</v>
      </c>
      <c r="F15" s="36">
        <v>653.72549000000004</v>
      </c>
      <c r="G15" s="36">
        <v>0</v>
      </c>
      <c r="H15" s="36">
        <v>0</v>
      </c>
      <c r="I15" s="36">
        <v>1388.7</v>
      </c>
      <c r="J15" s="36">
        <v>146.80000000000001</v>
      </c>
      <c r="K15" s="36">
        <v>0</v>
      </c>
      <c r="L15" s="36">
        <v>0</v>
      </c>
      <c r="M15" s="36">
        <f t="shared" ref="M15:M21" si="19">N15+O15+P15+Q15</f>
        <v>2437.6658800000005</v>
      </c>
      <c r="N15" s="36">
        <f t="shared" ref="N15:P20" si="20">S15+X15+AC15</f>
        <v>1226.8466599999999</v>
      </c>
      <c r="O15" s="36">
        <f t="shared" si="20"/>
        <v>344.11083000000002</v>
      </c>
      <c r="P15" s="36">
        <f t="shared" si="20"/>
        <v>165.75485</v>
      </c>
      <c r="Q15" s="36">
        <f t="shared" ref="Q15:Q21" si="21">V15+AA15+AF15+AK15</f>
        <v>700.9535400000002</v>
      </c>
      <c r="R15" s="48">
        <v>2297.2613200000001</v>
      </c>
      <c r="S15" s="51">
        <v>1117.1695099999999</v>
      </c>
      <c r="T15" s="52">
        <v>315.38342</v>
      </c>
      <c r="U15" s="53">
        <v>165.75485</v>
      </c>
      <c r="V15" s="48">
        <f>R15-U15-T15-S15</f>
        <v>698.9535400000002</v>
      </c>
      <c r="W15" s="45">
        <f t="shared" ref="W15:W21" si="22">X15+Y15+Z15+AA15</f>
        <v>0</v>
      </c>
      <c r="X15" s="45">
        <v>0</v>
      </c>
      <c r="Y15" s="45">
        <v>0</v>
      </c>
      <c r="Z15" s="45">
        <v>0</v>
      </c>
      <c r="AA15" s="45">
        <v>0</v>
      </c>
      <c r="AB15" s="36">
        <v>140.40456</v>
      </c>
      <c r="AC15" s="46">
        <v>109.67715</v>
      </c>
      <c r="AD15" s="47">
        <v>28.727409999999999</v>
      </c>
      <c r="AE15" s="36">
        <v>0</v>
      </c>
      <c r="AF15" s="36">
        <f>AB15-AC15-AD15-AE15</f>
        <v>2.0000000000000071</v>
      </c>
      <c r="AG15" s="36">
        <f t="shared" ref="AG15:AG21" si="23">AH15+AI15+AJ15+AK15</f>
        <v>0</v>
      </c>
      <c r="AH15" s="36">
        <v>0</v>
      </c>
      <c r="AI15" s="36">
        <v>0</v>
      </c>
      <c r="AJ15" s="36">
        <v>0</v>
      </c>
      <c r="AK15" s="36">
        <v>0</v>
      </c>
      <c r="AL15" s="18">
        <f t="shared" ref="AL15:AL20" si="24">B15-M15</f>
        <v>-88.155910000000404</v>
      </c>
      <c r="AM15" s="36">
        <f t="shared" ref="AM15:AM22" si="25">AN15-AO15</f>
        <v>0</v>
      </c>
      <c r="AN15" s="18">
        <v>0</v>
      </c>
      <c r="AO15" s="18">
        <v>0</v>
      </c>
      <c r="AP15" s="18">
        <f t="shared" ref="AP15:AP20" si="26">AQ15-AR15</f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f t="shared" ref="AU15:AU20" si="27">-AL15</f>
        <v>88.155910000000404</v>
      </c>
      <c r="AV15" s="18">
        <v>1598.11869</v>
      </c>
      <c r="AW15" s="41">
        <v>1226.8466599999999</v>
      </c>
      <c r="AX15" s="44">
        <v>109.67715</v>
      </c>
      <c r="AY15" s="42">
        <v>344.11083000000002</v>
      </c>
      <c r="AZ15" s="43">
        <v>28.727409999999999</v>
      </c>
      <c r="BA15" s="18">
        <f>AV15-AY15-AW15</f>
        <v>27.161200000000008</v>
      </c>
      <c r="BB15" s="18">
        <f>140.40456-AZ15-AX15</f>
        <v>2.0000000000000142</v>
      </c>
      <c r="BC15" s="18">
        <f t="shared" ref="BC15:BC22" si="28">BD15+BE15+BF15</f>
        <v>425.50949000000003</v>
      </c>
      <c r="BD15" s="18">
        <v>425.50949000000003</v>
      </c>
      <c r="BE15" s="18">
        <v>0</v>
      </c>
      <c r="BF15" s="18">
        <v>0</v>
      </c>
      <c r="BG15" s="36">
        <f>BH15+BI15+BJ15</f>
        <v>337.37857999999994</v>
      </c>
      <c r="BH15" s="18">
        <f>273.74001+57.21813</f>
        <v>330.95813999999996</v>
      </c>
      <c r="BI15" s="18">
        <v>6.4204400000000001</v>
      </c>
      <c r="BJ15" s="18">
        <v>0</v>
      </c>
      <c r="BK15" s="36">
        <v>0</v>
      </c>
      <c r="BL15" s="18">
        <f t="shared" ref="BL15:BL20" si="29">F15+BM15</f>
        <v>653.72549000000004</v>
      </c>
      <c r="BM15" s="18">
        <f>BO15</f>
        <v>0</v>
      </c>
      <c r="BN15" s="18">
        <v>472.63634999999999</v>
      </c>
      <c r="BO15" s="18">
        <v>0</v>
      </c>
      <c r="BP15" s="18">
        <f>BL15-BN15</f>
        <v>181.08914000000004</v>
      </c>
      <c r="BQ15" s="18">
        <f t="shared" ref="BQ15:BQ20" si="30">BR15+BS15</f>
        <v>0</v>
      </c>
      <c r="BR15" s="18">
        <v>0</v>
      </c>
      <c r="BS15" s="18">
        <v>0</v>
      </c>
      <c r="BT15" s="18">
        <v>0</v>
      </c>
      <c r="BU15" s="18">
        <v>0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0</v>
      </c>
      <c r="CC15" s="18">
        <f t="shared" ref="CC15:CC22" si="31">CD15</f>
        <v>0</v>
      </c>
      <c r="CD15" s="18">
        <v>0</v>
      </c>
      <c r="CE15" s="18">
        <v>0</v>
      </c>
      <c r="CF15" s="18">
        <v>0</v>
      </c>
      <c r="CG15" s="18">
        <v>0</v>
      </c>
      <c r="CH15" s="18">
        <v>0</v>
      </c>
    </row>
    <row r="16" spans="1:88" ht="15.75">
      <c r="A16" s="32" t="s">
        <v>76</v>
      </c>
      <c r="B16" s="36">
        <f>C16+J16+K16+L16</f>
        <v>2961.8802099999998</v>
      </c>
      <c r="C16" s="36">
        <f t="shared" si="18"/>
        <v>2782.53521</v>
      </c>
      <c r="D16" s="36">
        <v>1155.22541</v>
      </c>
      <c r="E16" s="36">
        <v>83.265209999999996</v>
      </c>
      <c r="F16" s="36">
        <v>1046.9255599999999</v>
      </c>
      <c r="G16" s="36">
        <v>187.75980000000001</v>
      </c>
      <c r="H16" s="36">
        <v>0</v>
      </c>
      <c r="I16" s="36">
        <v>1439.55</v>
      </c>
      <c r="J16" s="36">
        <f>146.825+32.52</f>
        <v>179.345</v>
      </c>
      <c r="K16" s="36">
        <v>0</v>
      </c>
      <c r="L16" s="36">
        <v>0</v>
      </c>
      <c r="M16" s="36">
        <f t="shared" si="19"/>
        <v>2767.6910800000005</v>
      </c>
      <c r="N16" s="36">
        <f t="shared" si="20"/>
        <v>923.17818</v>
      </c>
      <c r="O16" s="36">
        <f t="shared" si="20"/>
        <v>263.25151</v>
      </c>
      <c r="P16" s="36">
        <f t="shared" si="20"/>
        <v>211.78688</v>
      </c>
      <c r="Q16" s="36">
        <f t="shared" si="21"/>
        <v>1369.4745100000002</v>
      </c>
      <c r="R16" s="48">
        <v>2620.6285200000002</v>
      </c>
      <c r="S16" s="51">
        <v>828.41431</v>
      </c>
      <c r="T16" s="52">
        <v>234.63282000000001</v>
      </c>
      <c r="U16" s="53">
        <v>211.78688</v>
      </c>
      <c r="V16" s="48">
        <f t="shared" ref="V16:V22" si="32">R16-U16-T16-S16</f>
        <v>1345.7945100000002</v>
      </c>
      <c r="W16" s="45">
        <f t="shared" si="22"/>
        <v>0</v>
      </c>
      <c r="X16" s="45">
        <v>0</v>
      </c>
      <c r="Y16" s="45">
        <v>0</v>
      </c>
      <c r="Z16" s="45">
        <v>0</v>
      </c>
      <c r="AA16" s="45">
        <v>0</v>
      </c>
      <c r="AB16" s="36">
        <v>147.06255999999999</v>
      </c>
      <c r="AC16" s="46">
        <v>94.763869999999997</v>
      </c>
      <c r="AD16" s="47">
        <v>28.618690000000001</v>
      </c>
      <c r="AE16" s="36">
        <v>0</v>
      </c>
      <c r="AF16" s="36">
        <f t="shared" ref="AF16:AF22" si="33">AB16-AC16-AD16-AE16</f>
        <v>23.679999999999993</v>
      </c>
      <c r="AG16" s="36">
        <f t="shared" si="23"/>
        <v>0</v>
      </c>
      <c r="AH16" s="36">
        <v>0</v>
      </c>
      <c r="AI16" s="36">
        <v>0</v>
      </c>
      <c r="AJ16" s="36">
        <v>0</v>
      </c>
      <c r="AK16" s="36">
        <v>0</v>
      </c>
      <c r="AL16" s="18">
        <f t="shared" si="24"/>
        <v>194.1891299999993</v>
      </c>
      <c r="AM16" s="36">
        <f t="shared" si="25"/>
        <v>0</v>
      </c>
      <c r="AN16" s="18">
        <v>0</v>
      </c>
      <c r="AO16" s="18">
        <v>0</v>
      </c>
      <c r="AP16" s="18">
        <f t="shared" si="26"/>
        <v>0</v>
      </c>
      <c r="AQ16" s="18">
        <v>0</v>
      </c>
      <c r="AR16" s="18">
        <v>0</v>
      </c>
      <c r="AS16" s="18">
        <v>0</v>
      </c>
      <c r="AT16" s="18">
        <v>0</v>
      </c>
      <c r="AU16" s="18">
        <f t="shared" si="27"/>
        <v>-194.1891299999993</v>
      </c>
      <c r="AV16" s="18">
        <v>1281.0503000000001</v>
      </c>
      <c r="AW16" s="41">
        <v>923.17818</v>
      </c>
      <c r="AX16" s="44">
        <v>94.763869999999997</v>
      </c>
      <c r="AY16" s="42">
        <v>263.25151</v>
      </c>
      <c r="AZ16" s="43">
        <v>28.618690000000001</v>
      </c>
      <c r="BA16" s="18">
        <f>AV16-AY16-AW16</f>
        <v>94.620610000000056</v>
      </c>
      <c r="BB16" s="18">
        <f>125.38256-AZ16-AX16</f>
        <v>2</v>
      </c>
      <c r="BC16" s="18">
        <f t="shared" si="28"/>
        <v>1303.93703</v>
      </c>
      <c r="BD16" s="18">
        <v>1303.93703</v>
      </c>
      <c r="BE16" s="18">
        <v>0</v>
      </c>
      <c r="BF16" s="18">
        <v>0</v>
      </c>
      <c r="BG16" s="36">
        <f>BH16+BI16+BJ16</f>
        <v>1498.1261599999998</v>
      </c>
      <c r="BH16" s="18">
        <f>114.33569+1351.50803</f>
        <v>1465.8437199999998</v>
      </c>
      <c r="BI16" s="18">
        <f>21.44244+10.84</f>
        <v>32.282440000000001</v>
      </c>
      <c r="BJ16" s="18">
        <v>0</v>
      </c>
      <c r="BK16" s="36">
        <v>0</v>
      </c>
      <c r="BL16" s="18">
        <f t="shared" si="29"/>
        <v>1046.9255599999999</v>
      </c>
      <c r="BM16" s="18">
        <f>BO16</f>
        <v>0</v>
      </c>
      <c r="BN16" s="18">
        <v>542.928</v>
      </c>
      <c r="BO16" s="18">
        <v>0</v>
      </c>
      <c r="BP16" s="18">
        <f t="shared" ref="BP16:BP22" si="34">BL16-BN16</f>
        <v>503.99755999999991</v>
      </c>
      <c r="BQ16" s="18">
        <f t="shared" si="30"/>
        <v>0</v>
      </c>
      <c r="BR16" s="18">
        <v>0</v>
      </c>
      <c r="BS16" s="18">
        <v>0</v>
      </c>
      <c r="BT16" s="18">
        <v>0</v>
      </c>
      <c r="BU16" s="18">
        <v>0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f t="shared" si="31"/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</row>
    <row r="17" spans="1:86" ht="15.75">
      <c r="A17" s="32" t="s">
        <v>75</v>
      </c>
      <c r="B17" s="36">
        <f>C17+J17+K17+L17</f>
        <v>5323.8392999999996</v>
      </c>
      <c r="C17" s="36">
        <f t="shared" si="18"/>
        <v>2978.9313199999997</v>
      </c>
      <c r="D17" s="36">
        <v>853.58132000000001</v>
      </c>
      <c r="E17" s="36">
        <v>26.857050000000001</v>
      </c>
      <c r="F17" s="36">
        <v>448.68239</v>
      </c>
      <c r="G17" s="36">
        <v>0</v>
      </c>
      <c r="H17" s="36">
        <v>0</v>
      </c>
      <c r="I17" s="36">
        <v>2125.35</v>
      </c>
      <c r="J17" s="36">
        <v>2229.2249999999999</v>
      </c>
      <c r="K17" s="36">
        <v>119.9</v>
      </c>
      <c r="L17" s="36">
        <v>-4.2170199999999998</v>
      </c>
      <c r="M17" s="36">
        <f t="shared" si="19"/>
        <v>6063.5753500000001</v>
      </c>
      <c r="N17" s="36">
        <f t="shared" si="20"/>
        <v>1132.0733499999999</v>
      </c>
      <c r="O17" s="36">
        <f t="shared" si="20"/>
        <v>323.35682000000003</v>
      </c>
      <c r="P17" s="36">
        <f t="shared" si="20"/>
        <v>347.99103000000002</v>
      </c>
      <c r="Q17" s="36">
        <f t="shared" si="21"/>
        <v>4260.1541500000003</v>
      </c>
      <c r="R17" s="48">
        <v>3860.84537</v>
      </c>
      <c r="S17" s="51">
        <v>1031.73542</v>
      </c>
      <c r="T17" s="52">
        <v>294.56477000000001</v>
      </c>
      <c r="U17" s="53">
        <v>347.99103000000002</v>
      </c>
      <c r="V17" s="48">
        <f t="shared" si="32"/>
        <v>2186.5541499999999</v>
      </c>
      <c r="W17" s="45">
        <f t="shared" si="22"/>
        <v>0</v>
      </c>
      <c r="X17" s="45">
        <v>0</v>
      </c>
      <c r="Y17" s="45">
        <v>0</v>
      </c>
      <c r="Z17" s="45">
        <v>0</v>
      </c>
      <c r="AA17" s="45">
        <v>0</v>
      </c>
      <c r="AB17" s="36">
        <v>2202.7299800000001</v>
      </c>
      <c r="AC17" s="46">
        <v>100.33793</v>
      </c>
      <c r="AD17" s="47">
        <v>28.79205</v>
      </c>
      <c r="AE17" s="36">
        <v>0</v>
      </c>
      <c r="AF17" s="36">
        <f t="shared" si="33"/>
        <v>2073.6</v>
      </c>
      <c r="AG17" s="36">
        <f t="shared" si="23"/>
        <v>0</v>
      </c>
      <c r="AH17" s="36">
        <v>0</v>
      </c>
      <c r="AI17" s="36">
        <v>0</v>
      </c>
      <c r="AJ17" s="36">
        <v>0</v>
      </c>
      <c r="AK17" s="36">
        <v>0</v>
      </c>
      <c r="AL17" s="18">
        <f t="shared" si="24"/>
        <v>-739.73605000000043</v>
      </c>
      <c r="AM17" s="36">
        <f t="shared" si="25"/>
        <v>0</v>
      </c>
      <c r="AN17" s="18">
        <v>0</v>
      </c>
      <c r="AO17" s="18">
        <v>0</v>
      </c>
      <c r="AP17" s="18">
        <f t="shared" si="26"/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f t="shared" si="27"/>
        <v>739.73605000000043</v>
      </c>
      <c r="AV17" s="18">
        <v>1650.94274</v>
      </c>
      <c r="AW17" s="41">
        <v>1132.0733499999999</v>
      </c>
      <c r="AX17" s="44">
        <v>100.33793</v>
      </c>
      <c r="AY17" s="42">
        <v>323.35682000000003</v>
      </c>
      <c r="AZ17" s="43">
        <v>28.79205</v>
      </c>
      <c r="BA17" s="18">
        <f t="shared" ref="BA17:BA22" si="35">AV17-AY17-AW17</f>
        <v>195.5125700000001</v>
      </c>
      <c r="BB17" s="18">
        <f>131.12998-AZ17-AX17</f>
        <v>1.9999999999999858</v>
      </c>
      <c r="BC17" s="18">
        <f t="shared" si="28"/>
        <v>1398.2238299999999</v>
      </c>
      <c r="BD17" s="18">
        <v>1398.2238299999999</v>
      </c>
      <c r="BE17" s="18">
        <v>0</v>
      </c>
      <c r="BF17" s="18">
        <v>0</v>
      </c>
      <c r="BG17" s="36">
        <f>BH17+BI17+BJ17</f>
        <v>658.48777999999993</v>
      </c>
      <c r="BH17" s="18">
        <f>636.14166-4.1489</f>
        <v>631.99275999999998</v>
      </c>
      <c r="BI17" s="18">
        <f>10.8+15.69502</f>
        <v>26.49502</v>
      </c>
      <c r="BJ17" s="18">
        <v>0</v>
      </c>
      <c r="BK17" s="36">
        <v>0</v>
      </c>
      <c r="BL17" s="18">
        <f t="shared" si="29"/>
        <v>2448.6823899999999</v>
      </c>
      <c r="BM17" s="18">
        <f>BO17</f>
        <v>2000</v>
      </c>
      <c r="BN17" s="18">
        <v>3488.4369299999998</v>
      </c>
      <c r="BO17" s="18">
        <v>2000</v>
      </c>
      <c r="BP17" s="18">
        <f t="shared" si="34"/>
        <v>-1039.7545399999999</v>
      </c>
      <c r="BQ17" s="18">
        <f t="shared" si="30"/>
        <v>0</v>
      </c>
      <c r="BR17" s="18">
        <v>0</v>
      </c>
      <c r="BS17" s="18">
        <v>0</v>
      </c>
      <c r="BT17" s="18">
        <v>0</v>
      </c>
      <c r="BU17" s="18">
        <v>0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f t="shared" si="31"/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</row>
    <row r="18" spans="1:86" ht="15.75">
      <c r="A18" s="32" t="s">
        <v>74</v>
      </c>
      <c r="B18" s="36">
        <f>C18+J18+K18+L18</f>
        <v>3808.8863700000002</v>
      </c>
      <c r="C18" s="36">
        <f t="shared" si="18"/>
        <v>3591.0613700000004</v>
      </c>
      <c r="D18" s="36">
        <v>1706.54537</v>
      </c>
      <c r="E18" s="36">
        <v>138.30681000000001</v>
      </c>
      <c r="F18" s="36">
        <v>1526.9676300000001</v>
      </c>
      <c r="G18" s="36">
        <v>128.01599999999999</v>
      </c>
      <c r="H18" s="36">
        <v>0</v>
      </c>
      <c r="I18" s="36">
        <v>1756.5</v>
      </c>
      <c r="J18" s="36">
        <v>196.82499999999999</v>
      </c>
      <c r="K18" s="36">
        <v>21</v>
      </c>
      <c r="L18" s="36">
        <v>0</v>
      </c>
      <c r="M18" s="36">
        <f t="shared" si="19"/>
        <v>3640.63598</v>
      </c>
      <c r="N18" s="36">
        <f t="shared" si="20"/>
        <v>1012.61334</v>
      </c>
      <c r="O18" s="36">
        <f t="shared" si="20"/>
        <v>364.39888000000002</v>
      </c>
      <c r="P18" s="36">
        <f t="shared" si="20"/>
        <v>459.48635999999999</v>
      </c>
      <c r="Q18" s="36">
        <f t="shared" si="21"/>
        <v>1804.1374000000003</v>
      </c>
      <c r="R18" s="48">
        <v>3482.0293200000001</v>
      </c>
      <c r="S18" s="51">
        <v>930.03809999999999</v>
      </c>
      <c r="T18" s="52">
        <v>340.36745999999999</v>
      </c>
      <c r="U18" s="53">
        <v>459.48635999999999</v>
      </c>
      <c r="V18" s="48">
        <f t="shared" si="32"/>
        <v>1752.1374000000003</v>
      </c>
      <c r="W18" s="45">
        <f t="shared" si="22"/>
        <v>0</v>
      </c>
      <c r="X18" s="45">
        <v>0</v>
      </c>
      <c r="Y18" s="45">
        <v>0</v>
      </c>
      <c r="Z18" s="45">
        <v>0</v>
      </c>
      <c r="AA18" s="45">
        <v>0</v>
      </c>
      <c r="AB18" s="36">
        <v>158.60666000000001</v>
      </c>
      <c r="AC18" s="46">
        <v>82.575239999999994</v>
      </c>
      <c r="AD18" s="47">
        <v>24.031420000000001</v>
      </c>
      <c r="AE18" s="36">
        <v>0</v>
      </c>
      <c r="AF18" s="36">
        <f t="shared" si="33"/>
        <v>52.000000000000014</v>
      </c>
      <c r="AG18" s="36">
        <f t="shared" si="23"/>
        <v>0</v>
      </c>
      <c r="AH18" s="36">
        <v>0</v>
      </c>
      <c r="AI18" s="36">
        <v>0</v>
      </c>
      <c r="AJ18" s="36">
        <v>0</v>
      </c>
      <c r="AK18" s="36">
        <v>0</v>
      </c>
      <c r="AL18" s="18">
        <f t="shared" si="24"/>
        <v>168.25039000000015</v>
      </c>
      <c r="AM18" s="36">
        <f t="shared" si="25"/>
        <v>0</v>
      </c>
      <c r="AN18" s="18">
        <v>0</v>
      </c>
      <c r="AO18" s="18">
        <v>0</v>
      </c>
      <c r="AP18" s="18">
        <f t="shared" si="26"/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f t="shared" si="27"/>
        <v>-168.25039000000015</v>
      </c>
      <c r="AV18" s="18">
        <v>1511.13993</v>
      </c>
      <c r="AW18" s="41">
        <v>1012.61334</v>
      </c>
      <c r="AX18" s="44">
        <v>82.575239999999994</v>
      </c>
      <c r="AY18" s="42">
        <v>364.39888000000002</v>
      </c>
      <c r="AZ18" s="43">
        <v>24.031420000000001</v>
      </c>
      <c r="BA18" s="18">
        <f t="shared" si="35"/>
        <v>134.12771000000009</v>
      </c>
      <c r="BB18" s="18">
        <f>108.60666-AZ18-AX18</f>
        <v>2.0000000000000142</v>
      </c>
      <c r="BC18" s="18">
        <f t="shared" si="28"/>
        <v>10.14217</v>
      </c>
      <c r="BD18" s="18">
        <v>10.14217</v>
      </c>
      <c r="BE18" s="18">
        <v>0</v>
      </c>
      <c r="BF18" s="18">
        <v>0</v>
      </c>
      <c r="BG18" s="36">
        <f>BH18+BI18+BJ18</f>
        <v>178.39330000000001</v>
      </c>
      <c r="BH18" s="18">
        <f>139.87496+0.3</f>
        <v>140.17496</v>
      </c>
      <c r="BI18" s="18">
        <v>38.218339999999998</v>
      </c>
      <c r="BJ18" s="18">
        <v>0</v>
      </c>
      <c r="BK18" s="36">
        <v>0</v>
      </c>
      <c r="BL18" s="18">
        <f t="shared" si="29"/>
        <v>1576.9676300000001</v>
      </c>
      <c r="BM18" s="18">
        <f>BO18</f>
        <v>50</v>
      </c>
      <c r="BN18" s="18">
        <v>1708.1862900000001</v>
      </c>
      <c r="BO18" s="18">
        <v>50</v>
      </c>
      <c r="BP18" s="18">
        <f t="shared" si="34"/>
        <v>-131.21866</v>
      </c>
      <c r="BQ18" s="18">
        <f t="shared" si="30"/>
        <v>0</v>
      </c>
      <c r="BR18" s="18">
        <v>0</v>
      </c>
      <c r="BS18" s="18">
        <v>0</v>
      </c>
      <c r="BT18" s="18">
        <v>0</v>
      </c>
      <c r="BU18" s="18">
        <v>0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0</v>
      </c>
      <c r="CC18" s="18">
        <f t="shared" si="31"/>
        <v>0</v>
      </c>
      <c r="CD18" s="18">
        <v>0</v>
      </c>
      <c r="CE18" s="18">
        <v>0</v>
      </c>
      <c r="CF18" s="18">
        <v>0</v>
      </c>
      <c r="CG18" s="18">
        <v>0</v>
      </c>
      <c r="CH18" s="18">
        <v>0</v>
      </c>
    </row>
    <row r="19" spans="1:86" ht="15.75">
      <c r="A19" s="32" t="s">
        <v>73</v>
      </c>
      <c r="B19" s="36">
        <f>C19+J19+K19+L19</f>
        <v>3253.5569800000003</v>
      </c>
      <c r="C19" s="36">
        <f t="shared" si="18"/>
        <v>3106.7319800000005</v>
      </c>
      <c r="D19" s="36">
        <v>1328.0870600000001</v>
      </c>
      <c r="E19" s="36">
        <v>58.532989999999998</v>
      </c>
      <c r="F19" s="36">
        <v>735.74266999999998</v>
      </c>
      <c r="G19" s="36">
        <v>172.74492000000001</v>
      </c>
      <c r="H19" s="36">
        <v>92.307670000000002</v>
      </c>
      <c r="I19" s="36">
        <v>1605.9</v>
      </c>
      <c r="J19" s="36">
        <v>146.82499999999999</v>
      </c>
      <c r="K19" s="36">
        <v>0</v>
      </c>
      <c r="L19" s="36">
        <v>0</v>
      </c>
      <c r="M19" s="36">
        <f t="shared" si="19"/>
        <v>3476.2959599999999</v>
      </c>
      <c r="N19" s="36">
        <f t="shared" si="20"/>
        <v>1144.20397</v>
      </c>
      <c r="O19" s="36">
        <f t="shared" si="20"/>
        <v>337.03352999999998</v>
      </c>
      <c r="P19" s="36">
        <f t="shared" si="20"/>
        <v>787.39170999999999</v>
      </c>
      <c r="Q19" s="36">
        <f t="shared" si="21"/>
        <v>1207.6667499999999</v>
      </c>
      <c r="R19" s="50">
        <v>3351.7474499999998</v>
      </c>
      <c r="S19" s="51">
        <v>1048.06664</v>
      </c>
      <c r="T19" s="52">
        <v>310.62234999999998</v>
      </c>
      <c r="U19" s="53">
        <v>787.39170999999999</v>
      </c>
      <c r="V19" s="48">
        <f t="shared" si="32"/>
        <v>1205.6667499999999</v>
      </c>
      <c r="W19" s="45">
        <f t="shared" si="22"/>
        <v>0</v>
      </c>
      <c r="X19" s="45">
        <v>0</v>
      </c>
      <c r="Y19" s="45">
        <v>0</v>
      </c>
      <c r="Z19" s="45">
        <v>0</v>
      </c>
      <c r="AA19" s="45">
        <v>0</v>
      </c>
      <c r="AB19" s="36">
        <v>124.54850999999999</v>
      </c>
      <c r="AC19" s="46">
        <v>96.137330000000006</v>
      </c>
      <c r="AD19" s="47">
        <v>26.411180000000002</v>
      </c>
      <c r="AE19" s="36">
        <v>0</v>
      </c>
      <c r="AF19" s="36">
        <f t="shared" si="33"/>
        <v>1.9999999999999858</v>
      </c>
      <c r="AG19" s="36">
        <f t="shared" si="23"/>
        <v>0</v>
      </c>
      <c r="AH19" s="36">
        <v>0</v>
      </c>
      <c r="AI19" s="36">
        <v>0</v>
      </c>
      <c r="AJ19" s="36">
        <v>0</v>
      </c>
      <c r="AK19" s="36">
        <v>0</v>
      </c>
      <c r="AL19" s="18">
        <f t="shared" si="24"/>
        <v>-222.73897999999963</v>
      </c>
      <c r="AM19" s="18">
        <f t="shared" si="25"/>
        <v>0</v>
      </c>
      <c r="AN19" s="18">
        <v>0</v>
      </c>
      <c r="AO19" s="18">
        <v>0</v>
      </c>
      <c r="AP19" s="18">
        <f t="shared" si="26"/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f t="shared" si="27"/>
        <v>222.73897999999963</v>
      </c>
      <c r="AV19" s="18">
        <v>1617.60743</v>
      </c>
      <c r="AW19" s="41">
        <v>1144.20397</v>
      </c>
      <c r="AX19" s="44">
        <v>96.137330000000006</v>
      </c>
      <c r="AY19" s="42">
        <v>337.03352999999998</v>
      </c>
      <c r="AZ19" s="43">
        <v>26.411180000000002</v>
      </c>
      <c r="BA19" s="18">
        <f t="shared" si="35"/>
        <v>136.36993000000007</v>
      </c>
      <c r="BB19" s="18">
        <f>124.54851-AZ19-AX19</f>
        <v>1.9999999999999858</v>
      </c>
      <c r="BC19" s="18">
        <f t="shared" si="28"/>
        <v>459.00173000000001</v>
      </c>
      <c r="BD19" s="18">
        <v>459.00173000000001</v>
      </c>
      <c r="BE19" s="18">
        <v>0</v>
      </c>
      <c r="BF19" s="18">
        <v>0</v>
      </c>
      <c r="BG19" s="18">
        <f t="shared" ref="BG19" si="36">BH19+BI19+BJ19</f>
        <v>236.26328999999998</v>
      </c>
      <c r="BH19" s="18">
        <v>213.98679999999999</v>
      </c>
      <c r="BI19" s="18">
        <v>22.276489999999999</v>
      </c>
      <c r="BJ19" s="18">
        <v>0</v>
      </c>
      <c r="BK19" s="18">
        <v>0</v>
      </c>
      <c r="BL19" s="18">
        <f t="shared" si="29"/>
        <v>735.74266999999998</v>
      </c>
      <c r="BM19" s="18">
        <f>BO19</f>
        <v>0</v>
      </c>
      <c r="BN19" s="18">
        <v>532.05939000000001</v>
      </c>
      <c r="BO19" s="18">
        <v>0</v>
      </c>
      <c r="BP19" s="18">
        <f t="shared" si="34"/>
        <v>203.68327999999997</v>
      </c>
      <c r="BQ19" s="18">
        <f t="shared" si="30"/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f t="shared" si="31"/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</row>
    <row r="20" spans="1:86" ht="17.45" customHeight="1">
      <c r="A20" s="32" t="s">
        <v>72</v>
      </c>
      <c r="B20" s="36">
        <f t="shared" ref="B20" si="37">C20+J20+K20+L20</f>
        <v>3904.6316999999999</v>
      </c>
      <c r="C20" s="36">
        <f t="shared" si="18"/>
        <v>3376.2067000000002</v>
      </c>
      <c r="D20" s="36">
        <v>1758.0867000000001</v>
      </c>
      <c r="E20" s="36">
        <v>203.47604000000001</v>
      </c>
      <c r="F20" s="36">
        <v>1449.7748799999999</v>
      </c>
      <c r="G20" s="36">
        <v>194.62</v>
      </c>
      <c r="H20" s="36">
        <v>98.653000000000006</v>
      </c>
      <c r="I20" s="36">
        <v>1423.5</v>
      </c>
      <c r="J20" s="36">
        <v>302.82499999999999</v>
      </c>
      <c r="K20" s="36">
        <v>225.6</v>
      </c>
      <c r="L20" s="36">
        <v>0</v>
      </c>
      <c r="M20" s="36">
        <f t="shared" si="19"/>
        <v>3492.9778799999999</v>
      </c>
      <c r="N20" s="36">
        <f t="shared" si="20"/>
        <v>1188.4749400000001</v>
      </c>
      <c r="O20" s="36">
        <f t="shared" si="20"/>
        <v>326.63150999999999</v>
      </c>
      <c r="P20" s="36">
        <f t="shared" si="20"/>
        <v>232.50443000000001</v>
      </c>
      <c r="Q20" s="36">
        <f t="shared" si="21"/>
        <v>1745.367</v>
      </c>
      <c r="R20" s="48">
        <v>3209.2883999999999</v>
      </c>
      <c r="S20" s="51">
        <v>1090.6674399999999</v>
      </c>
      <c r="T20" s="52">
        <v>298.74952999999999</v>
      </c>
      <c r="U20" s="53">
        <v>232.50443000000001</v>
      </c>
      <c r="V20" s="48">
        <f t="shared" si="32"/>
        <v>1587.367</v>
      </c>
      <c r="W20" s="45">
        <f t="shared" si="22"/>
        <v>0</v>
      </c>
      <c r="X20" s="45">
        <v>0</v>
      </c>
      <c r="Y20" s="45">
        <v>0</v>
      </c>
      <c r="Z20" s="45">
        <v>0</v>
      </c>
      <c r="AA20" s="45">
        <v>0</v>
      </c>
      <c r="AB20" s="36">
        <v>283.68948</v>
      </c>
      <c r="AC20" s="46">
        <v>97.807500000000005</v>
      </c>
      <c r="AD20" s="47">
        <v>27.881979999999999</v>
      </c>
      <c r="AE20" s="36">
        <v>0</v>
      </c>
      <c r="AF20" s="36">
        <f t="shared" si="33"/>
        <v>158</v>
      </c>
      <c r="AG20" s="36">
        <f t="shared" si="23"/>
        <v>0</v>
      </c>
      <c r="AH20" s="36">
        <v>0</v>
      </c>
      <c r="AI20" s="36">
        <v>0</v>
      </c>
      <c r="AJ20" s="36">
        <v>0</v>
      </c>
      <c r="AK20" s="36">
        <v>0</v>
      </c>
      <c r="AL20" s="18">
        <f t="shared" si="24"/>
        <v>411.65382</v>
      </c>
      <c r="AM20" s="18">
        <f t="shared" si="25"/>
        <v>0</v>
      </c>
      <c r="AN20" s="18">
        <v>0</v>
      </c>
      <c r="AO20" s="18">
        <v>0</v>
      </c>
      <c r="AP20" s="18">
        <f t="shared" si="26"/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f t="shared" si="27"/>
        <v>-411.65382</v>
      </c>
      <c r="AV20" s="18">
        <v>1543.18995</v>
      </c>
      <c r="AW20" s="41">
        <v>1188.4749400000001</v>
      </c>
      <c r="AX20" s="44">
        <v>97.807500000000005</v>
      </c>
      <c r="AY20" s="42">
        <v>326.63150999999999</v>
      </c>
      <c r="AZ20" s="43">
        <v>27.881979999999999</v>
      </c>
      <c r="BA20" s="18">
        <f t="shared" si="35"/>
        <v>28.083499999999958</v>
      </c>
      <c r="BB20" s="18">
        <f>127.68948-AZ20-AX20</f>
        <v>2</v>
      </c>
      <c r="BC20" s="18">
        <f t="shared" si="28"/>
        <v>191.10971000000001</v>
      </c>
      <c r="BD20" s="18">
        <v>191.10971000000001</v>
      </c>
      <c r="BE20" s="18">
        <v>0</v>
      </c>
      <c r="BF20" s="18">
        <v>0</v>
      </c>
      <c r="BG20" s="18">
        <f>BH20+BI20+BJ20</f>
        <v>602.76420000000007</v>
      </c>
      <c r="BH20" s="18">
        <f>35.56434+548.06434</f>
        <v>583.62868000000003</v>
      </c>
      <c r="BI20" s="18">
        <v>19.13552</v>
      </c>
      <c r="BJ20" s="18">
        <v>0</v>
      </c>
      <c r="BK20" s="18">
        <v>0</v>
      </c>
      <c r="BL20" s="18">
        <f t="shared" si="29"/>
        <v>1449.7748799999999</v>
      </c>
      <c r="BM20" s="18">
        <f t="shared" ref="BM20" si="38">BO20</f>
        <v>0</v>
      </c>
      <c r="BN20" s="18">
        <v>853.75465999999994</v>
      </c>
      <c r="BO20" s="18">
        <v>0</v>
      </c>
      <c r="BP20" s="18">
        <f t="shared" si="34"/>
        <v>596.02021999999999</v>
      </c>
      <c r="BQ20" s="18">
        <f t="shared" si="30"/>
        <v>0</v>
      </c>
      <c r="BR20" s="18">
        <v>0</v>
      </c>
      <c r="BS20" s="18">
        <v>0</v>
      </c>
      <c r="BT20" s="18">
        <v>0</v>
      </c>
      <c r="BU20" s="18">
        <v>0</v>
      </c>
      <c r="BV20" s="18">
        <v>0</v>
      </c>
      <c r="BW20" s="18">
        <v>0</v>
      </c>
      <c r="BX20" s="18">
        <v>0</v>
      </c>
      <c r="BY20" s="18">
        <v>0</v>
      </c>
      <c r="BZ20" s="18">
        <v>0</v>
      </c>
      <c r="CA20" s="18">
        <v>0</v>
      </c>
      <c r="CB20" s="18">
        <v>0</v>
      </c>
      <c r="CC20" s="18">
        <f t="shared" si="31"/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</row>
    <row r="21" spans="1:86" ht="17.45" customHeight="1">
      <c r="A21" s="32" t="s">
        <v>71</v>
      </c>
      <c r="B21" s="36">
        <f>C21+J21+K21+L21</f>
        <v>9761.6158700000015</v>
      </c>
      <c r="C21" s="36">
        <f t="shared" si="18"/>
        <v>8429.9158700000007</v>
      </c>
      <c r="D21" s="36">
        <v>4436.2658700000002</v>
      </c>
      <c r="E21" s="36">
        <v>301.74297999999999</v>
      </c>
      <c r="F21" s="36">
        <v>3599.1084000000001</v>
      </c>
      <c r="G21" s="36">
        <v>1843.2</v>
      </c>
      <c r="H21" s="36">
        <v>145.89017999999999</v>
      </c>
      <c r="I21" s="36">
        <v>2150.4499999999998</v>
      </c>
      <c r="J21" s="36">
        <v>1331.7</v>
      </c>
      <c r="K21" s="36">
        <v>0</v>
      </c>
      <c r="L21" s="36">
        <v>0</v>
      </c>
      <c r="M21" s="36">
        <f t="shared" si="19"/>
        <v>9324.6349499999997</v>
      </c>
      <c r="N21" s="36">
        <f t="shared" ref="N21" si="39">S21+X21+AC21</f>
        <v>2160.6811899999998</v>
      </c>
      <c r="O21" s="36">
        <f>T21+Y21+AD21</f>
        <v>638.16654000000005</v>
      </c>
      <c r="P21" s="36">
        <f>U21+Z21+AE21</f>
        <v>2678.8355799999999</v>
      </c>
      <c r="Q21" s="36">
        <f t="shared" si="21"/>
        <v>3846.9516399999993</v>
      </c>
      <c r="R21" s="48">
        <v>8017.7108699999999</v>
      </c>
      <c r="S21" s="51">
        <f>1303.43423+769.52052</f>
        <v>2072.9547499999999</v>
      </c>
      <c r="T21" s="52">
        <f>436.30716+175.366</f>
        <v>611.67316000000005</v>
      </c>
      <c r="U21" s="53">
        <f>2115.79217+557.21836</f>
        <v>2673.01053</v>
      </c>
      <c r="V21" s="48">
        <f t="shared" si="32"/>
        <v>2660.0724299999993</v>
      </c>
      <c r="W21" s="45">
        <f t="shared" si="22"/>
        <v>0</v>
      </c>
      <c r="X21" s="45">
        <v>0</v>
      </c>
      <c r="Y21" s="45">
        <v>0</v>
      </c>
      <c r="Z21" s="45">
        <v>0</v>
      </c>
      <c r="AA21" s="45">
        <v>0</v>
      </c>
      <c r="AB21" s="36">
        <v>1306.92408</v>
      </c>
      <c r="AC21" s="46">
        <v>87.726439999999997</v>
      </c>
      <c r="AD21" s="47">
        <v>26.493379999999998</v>
      </c>
      <c r="AE21" s="36">
        <v>5.8250500000000001</v>
      </c>
      <c r="AF21" s="36">
        <f t="shared" si="33"/>
        <v>1186.8792100000003</v>
      </c>
      <c r="AG21" s="36">
        <f t="shared" si="23"/>
        <v>0</v>
      </c>
      <c r="AH21" s="36">
        <v>0</v>
      </c>
      <c r="AI21" s="36">
        <v>0</v>
      </c>
      <c r="AJ21" s="36">
        <v>0</v>
      </c>
      <c r="AK21" s="36">
        <v>0</v>
      </c>
      <c r="AL21" s="18">
        <f t="shared" ref="AL21" si="40">B21-M21</f>
        <v>436.98092000000179</v>
      </c>
      <c r="AM21" s="18">
        <f t="shared" si="25"/>
        <v>0</v>
      </c>
      <c r="AN21" s="18">
        <v>0</v>
      </c>
      <c r="AO21" s="18">
        <v>0</v>
      </c>
      <c r="AP21" s="18">
        <f t="shared" ref="AP21" si="41">AQ21-AR21</f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f t="shared" ref="AU21" si="42">-AL21</f>
        <v>-436.98092000000179</v>
      </c>
      <c r="AV21" s="18">
        <v>2181.49577</v>
      </c>
      <c r="AW21" s="41">
        <v>1391.16067</v>
      </c>
      <c r="AX21" s="44">
        <v>87.726439999999997</v>
      </c>
      <c r="AY21" s="42">
        <v>462.80054000000001</v>
      </c>
      <c r="AZ21" s="43">
        <v>26.493379999999998</v>
      </c>
      <c r="BA21" s="18">
        <f t="shared" si="35"/>
        <v>327.53456000000006</v>
      </c>
      <c r="BB21" s="18">
        <f>122.04487-AZ21-AX21</f>
        <v>7.8250500000000045</v>
      </c>
      <c r="BC21" s="18">
        <f t="shared" si="28"/>
        <v>19.827380000000002</v>
      </c>
      <c r="BD21" s="18">
        <v>19.827380000000002</v>
      </c>
      <c r="BE21" s="18">
        <v>0</v>
      </c>
      <c r="BF21" s="18">
        <v>0</v>
      </c>
      <c r="BG21" s="18">
        <f>BH21+BI21+BJ21</f>
        <v>456.81209000000001</v>
      </c>
      <c r="BH21" s="18">
        <v>432.03196000000003</v>
      </c>
      <c r="BI21" s="18">
        <v>24.78013</v>
      </c>
      <c r="BJ21" s="18">
        <v>0</v>
      </c>
      <c r="BK21" s="18">
        <v>0</v>
      </c>
      <c r="BL21" s="18">
        <f t="shared" ref="BL21" si="43">F21+BM21</f>
        <v>3748.1684</v>
      </c>
      <c r="BM21" s="18">
        <f>BO21</f>
        <v>149.06</v>
      </c>
      <c r="BN21" s="18">
        <v>1918.58133</v>
      </c>
      <c r="BO21" s="18">
        <v>149.06</v>
      </c>
      <c r="BP21" s="18">
        <f t="shared" si="34"/>
        <v>1829.58707</v>
      </c>
      <c r="BQ21" s="18">
        <f t="shared" ref="BQ21" si="44">BR21+BS21</f>
        <v>0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0</v>
      </c>
      <c r="CC21" s="18">
        <f t="shared" si="31"/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</row>
    <row r="22" spans="1:86">
      <c r="A22" s="35" t="s">
        <v>70</v>
      </c>
      <c r="B22" s="36">
        <f>C22+J22+K22+L22</f>
        <v>15132.126619999999</v>
      </c>
      <c r="C22" s="36">
        <f t="shared" si="18"/>
        <v>9896.7636999999995</v>
      </c>
      <c r="D22" s="36">
        <v>7789.7637000000004</v>
      </c>
      <c r="E22" s="36">
        <v>5417.4735600000004</v>
      </c>
      <c r="F22" s="36">
        <v>2163.8071100000002</v>
      </c>
      <c r="G22" s="36">
        <v>880.2</v>
      </c>
      <c r="H22" s="36">
        <v>27.6</v>
      </c>
      <c r="I22" s="36">
        <v>1226.8</v>
      </c>
      <c r="J22" s="36">
        <v>4641.9799999999996</v>
      </c>
      <c r="K22" s="36">
        <v>593.38292000000001</v>
      </c>
      <c r="L22" s="36">
        <v>0</v>
      </c>
      <c r="M22" s="36">
        <f t="shared" ref="M22" si="45">N22+O22+P22+Q22</f>
        <v>14195.48054</v>
      </c>
      <c r="N22" s="36">
        <f>S22+X22+AC22</f>
        <v>3641.3183900000004</v>
      </c>
      <c r="O22" s="36">
        <f t="shared" ref="O22:P22" si="46">T22+Y22+AD22</f>
        <v>1061.6589899999999</v>
      </c>
      <c r="P22" s="36">
        <f t="shared" si="46"/>
        <v>882.71793000000002</v>
      </c>
      <c r="Q22" s="36">
        <f t="shared" ref="Q22" si="47">V22+AA22+AF22+AK22</f>
        <v>8609.7852299999995</v>
      </c>
      <c r="R22" s="48">
        <f>6048.97512+3504.52207</f>
        <v>9553.49719</v>
      </c>
      <c r="S22" s="48">
        <f>2077.53272+1563.78567</f>
        <v>3641.3183900000004</v>
      </c>
      <c r="T22" s="48">
        <f>617.59811+444.06088</f>
        <v>1061.6589899999999</v>
      </c>
      <c r="U22" s="48">
        <f>786.28684+96.43109</f>
        <v>882.71793000000002</v>
      </c>
      <c r="V22" s="48">
        <f t="shared" si="32"/>
        <v>3967.8018799999991</v>
      </c>
      <c r="W22" s="45">
        <f t="shared" ref="W22" si="48">X22+Y22+Z22+AA22</f>
        <v>0</v>
      </c>
      <c r="X22" s="45">
        <v>0</v>
      </c>
      <c r="Y22" s="45">
        <v>0</v>
      </c>
      <c r="Z22" s="45">
        <v>0</v>
      </c>
      <c r="AA22" s="45">
        <v>0</v>
      </c>
      <c r="AB22" s="36">
        <v>4641.9833500000004</v>
      </c>
      <c r="AC22" s="36">
        <v>0</v>
      </c>
      <c r="AD22" s="36">
        <v>0</v>
      </c>
      <c r="AE22" s="36">
        <v>0</v>
      </c>
      <c r="AF22" s="36">
        <f t="shared" si="33"/>
        <v>4641.9833500000004</v>
      </c>
      <c r="AG22" s="36">
        <f t="shared" ref="AG22" si="49">AH22+AI22+AJ22+AK22</f>
        <v>0</v>
      </c>
      <c r="AH22" s="36">
        <v>0</v>
      </c>
      <c r="AI22" s="36">
        <v>0</v>
      </c>
      <c r="AJ22" s="36">
        <v>0</v>
      </c>
      <c r="AK22" s="36">
        <v>0</v>
      </c>
      <c r="AL22" s="18">
        <f>B22-M22</f>
        <v>936.64607999999862</v>
      </c>
      <c r="AM22" s="18">
        <f t="shared" si="25"/>
        <v>0</v>
      </c>
      <c r="AN22" s="18">
        <v>0</v>
      </c>
      <c r="AO22" s="18">
        <v>0</v>
      </c>
      <c r="AP22" s="18">
        <f>AQ22-AR22</f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f>-AL22</f>
        <v>-936.64607999999862</v>
      </c>
      <c r="AV22" s="18">
        <v>2743.5598300000001</v>
      </c>
      <c r="AW22" s="41">
        <v>2077.5327200000002</v>
      </c>
      <c r="AX22" s="18">
        <v>0</v>
      </c>
      <c r="AY22" s="42">
        <v>617.59811000000002</v>
      </c>
      <c r="AZ22" s="18">
        <v>0</v>
      </c>
      <c r="BA22" s="18">
        <f t="shared" si="35"/>
        <v>48.429000000000087</v>
      </c>
      <c r="BB22" s="18">
        <f>2-AZ22-AX22</f>
        <v>2</v>
      </c>
      <c r="BC22" s="18">
        <f t="shared" si="28"/>
        <v>374.19819999999999</v>
      </c>
      <c r="BD22" s="18">
        <v>374.19819999999999</v>
      </c>
      <c r="BE22" s="18">
        <v>0</v>
      </c>
      <c r="BF22" s="18">
        <v>0</v>
      </c>
      <c r="BG22" s="18">
        <f>BH22+BI22+BJ22</f>
        <v>1310.8480199999999</v>
      </c>
      <c r="BH22" s="18">
        <v>1310.8480199999999</v>
      </c>
      <c r="BI22" s="18">
        <v>0</v>
      </c>
      <c r="BJ22" s="18">
        <v>0</v>
      </c>
      <c r="BK22" s="18">
        <v>0</v>
      </c>
      <c r="BL22" s="18">
        <f>F22+BM22</f>
        <v>2163.8071100000002</v>
      </c>
      <c r="BM22" s="18">
        <f>BO22</f>
        <v>0</v>
      </c>
      <c r="BN22" s="18">
        <v>1577.7720200000001</v>
      </c>
      <c r="BO22" s="18">
        <v>0</v>
      </c>
      <c r="BP22" s="18">
        <f t="shared" si="34"/>
        <v>586.03509000000008</v>
      </c>
      <c r="BQ22" s="18">
        <f>BR22+BS22</f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f t="shared" si="31"/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</row>
    <row r="23" spans="1:86" hidden="1">
      <c r="A23" s="16" t="s">
        <v>38</v>
      </c>
      <c r="B23" s="17">
        <f t="shared" ref="B23:B25" si="50">C23+J23+K23+L23</f>
        <v>0</v>
      </c>
      <c r="C23" s="17">
        <f t="shared" ref="C23:C25" si="51">D23+G23+I23</f>
        <v>0</v>
      </c>
      <c r="D23" s="20"/>
      <c r="E23" s="17"/>
      <c r="F23" s="17"/>
      <c r="G23" s="17"/>
      <c r="H23" s="17"/>
      <c r="I23" s="17"/>
      <c r="J23" s="17"/>
      <c r="K23" s="17"/>
      <c r="L23" s="17"/>
      <c r="M23" s="17">
        <f t="shared" ref="M23:M25" si="52">N23+O23+P23+Q23</f>
        <v>0</v>
      </c>
      <c r="N23" s="17">
        <f t="shared" ref="N23:N25" si="53">S23+X23+AC23</f>
        <v>0</v>
      </c>
      <c r="O23" s="17">
        <f t="shared" ref="O23:O25" si="54">T23+Y23+AD23</f>
        <v>0</v>
      </c>
      <c r="P23" s="17">
        <f t="shared" ref="P23:P25" si="55">U23+Z23+AE23</f>
        <v>0</v>
      </c>
      <c r="Q23" s="17">
        <f>V23+AA23+AF23</f>
        <v>0</v>
      </c>
      <c r="R23" s="19">
        <f>S23+T23+U23+V23</f>
        <v>0</v>
      </c>
      <c r="S23" s="19"/>
      <c r="T23" s="19"/>
      <c r="U23" s="19"/>
      <c r="V23" s="19"/>
      <c r="W23" s="21">
        <f>X23+Y23+Z23+AA23</f>
        <v>0</v>
      </c>
      <c r="X23" s="21"/>
      <c r="Y23" s="21"/>
      <c r="Z23" s="21"/>
      <c r="AA23" s="21"/>
      <c r="AB23" s="17">
        <f>AC23+AD23+AE23+AF23</f>
        <v>0</v>
      </c>
      <c r="AC23" s="17"/>
      <c r="AD23" s="17"/>
      <c r="AE23" s="17"/>
      <c r="AF23" s="17"/>
      <c r="AG23" s="17">
        <f>AH23+AI23+AJ23+AK23</f>
        <v>0</v>
      </c>
      <c r="AH23" s="17"/>
      <c r="AI23" s="17"/>
      <c r="AJ23" s="17"/>
      <c r="AK23" s="17"/>
      <c r="AL23" s="17">
        <f>B23-M23</f>
        <v>0</v>
      </c>
      <c r="AM23" s="17">
        <f t="shared" ref="AM23:AM25" si="56">AN23-AO23</f>
        <v>0</v>
      </c>
      <c r="AN23" s="17"/>
      <c r="AO23" s="17"/>
      <c r="AP23" s="17">
        <f>AQ23-AR23</f>
        <v>0</v>
      </c>
      <c r="AQ23" s="17"/>
      <c r="AR23" s="17"/>
      <c r="AS23" s="17"/>
      <c r="AT23" s="17"/>
      <c r="AU23" s="18">
        <f>AL23</f>
        <v>0</v>
      </c>
      <c r="AV23" s="23"/>
      <c r="AW23" s="24"/>
      <c r="AX23" s="24"/>
      <c r="AY23" s="24"/>
      <c r="AZ23" s="24"/>
      <c r="BA23" s="17"/>
      <c r="BB23" s="17"/>
      <c r="BC23" s="17">
        <f t="shared" ref="BC23:BC25" si="57">BD23+BE23+BF23</f>
        <v>0</v>
      </c>
      <c r="BD23" s="17"/>
      <c r="BE23" s="17"/>
      <c r="BF23" s="17"/>
      <c r="BG23" s="17">
        <f t="shared" ref="BG23:BG25" si="58">BH23+BI23+BJ23</f>
        <v>0</v>
      </c>
      <c r="BH23" s="17"/>
      <c r="BI23" s="17"/>
      <c r="BJ23" s="18">
        <v>0</v>
      </c>
      <c r="BK23" s="17"/>
      <c r="BL23" s="18">
        <f t="shared" ref="BL23:BL25" si="59">F23+BM23</f>
        <v>0</v>
      </c>
      <c r="BM23" s="18">
        <v>0</v>
      </c>
      <c r="BN23" s="18">
        <v>0</v>
      </c>
      <c r="BO23" s="18">
        <v>0</v>
      </c>
      <c r="BP23" s="17"/>
      <c r="BQ23" s="18">
        <f t="shared" ref="BQ23:BQ25" si="60">BR23+BS23</f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f t="shared" ref="CC23:CC25" si="61">CD23</f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</row>
    <row r="24" spans="1:86" hidden="1">
      <c r="A24" s="16" t="s">
        <v>38</v>
      </c>
      <c r="B24" s="17">
        <f t="shared" si="50"/>
        <v>0</v>
      </c>
      <c r="C24" s="17">
        <f t="shared" si="51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>
        <f t="shared" si="52"/>
        <v>0</v>
      </c>
      <c r="N24" s="17">
        <f t="shared" si="53"/>
        <v>0</v>
      </c>
      <c r="O24" s="17">
        <f t="shared" si="54"/>
        <v>0</v>
      </c>
      <c r="P24" s="17">
        <f t="shared" si="55"/>
        <v>0</v>
      </c>
      <c r="Q24" s="17">
        <f>V24+AA24+AF24</f>
        <v>0</v>
      </c>
      <c r="R24" s="19">
        <f>S24+T24+U24+V24</f>
        <v>0</v>
      </c>
      <c r="S24" s="19"/>
      <c r="T24" s="19"/>
      <c r="U24" s="19"/>
      <c r="V24" s="19"/>
      <c r="W24" s="21">
        <f>X24+Y24+Z24+AA24</f>
        <v>0</v>
      </c>
      <c r="X24" s="21"/>
      <c r="Y24" s="21"/>
      <c r="Z24" s="21"/>
      <c r="AA24" s="21"/>
      <c r="AB24" s="17">
        <f>AC24+AD24+AE24+AF24</f>
        <v>0</v>
      </c>
      <c r="AC24" s="17"/>
      <c r="AD24" s="17"/>
      <c r="AE24" s="17"/>
      <c r="AF24" s="17"/>
      <c r="AG24" s="17">
        <f>AH24+AI24+AJ24+AK24</f>
        <v>0</v>
      </c>
      <c r="AH24" s="17"/>
      <c r="AI24" s="17"/>
      <c r="AJ24" s="17"/>
      <c r="AK24" s="17"/>
      <c r="AL24" s="17">
        <f>B24-M24</f>
        <v>0</v>
      </c>
      <c r="AM24" s="17">
        <f t="shared" si="56"/>
        <v>0</v>
      </c>
      <c r="AN24" s="17"/>
      <c r="AO24" s="17"/>
      <c r="AP24" s="17">
        <f>AQ24-AR24</f>
        <v>0</v>
      </c>
      <c r="AQ24" s="17"/>
      <c r="AR24" s="17"/>
      <c r="AS24" s="17"/>
      <c r="AT24" s="17"/>
      <c r="AU24" s="18">
        <f>AL24</f>
        <v>0</v>
      </c>
      <c r="AV24" s="17"/>
      <c r="AW24" s="17"/>
      <c r="AX24" s="17"/>
      <c r="AY24" s="17"/>
      <c r="AZ24" s="17"/>
      <c r="BA24" s="17"/>
      <c r="BB24" s="17"/>
      <c r="BC24" s="17">
        <f t="shared" si="57"/>
        <v>0</v>
      </c>
      <c r="BD24" s="17"/>
      <c r="BE24" s="17"/>
      <c r="BF24" s="17"/>
      <c r="BG24" s="17">
        <f t="shared" si="58"/>
        <v>0</v>
      </c>
      <c r="BH24" s="17"/>
      <c r="BI24" s="17"/>
      <c r="BJ24" s="18">
        <v>0</v>
      </c>
      <c r="BK24" s="17"/>
      <c r="BL24" s="18">
        <f t="shared" si="59"/>
        <v>0</v>
      </c>
      <c r="BM24" s="18">
        <v>0</v>
      </c>
      <c r="BN24" s="18">
        <v>0</v>
      </c>
      <c r="BO24" s="18">
        <v>0</v>
      </c>
      <c r="BP24" s="17"/>
      <c r="BQ24" s="18">
        <f t="shared" si="60"/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f t="shared" si="61"/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</row>
    <row r="25" spans="1:86" ht="13.5" hidden="1" customHeight="1">
      <c r="A25" s="16" t="s">
        <v>38</v>
      </c>
      <c r="B25" s="17">
        <f t="shared" si="50"/>
        <v>0</v>
      </c>
      <c r="C25" s="17">
        <f t="shared" si="51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>
        <f t="shared" si="52"/>
        <v>0</v>
      </c>
      <c r="N25" s="17">
        <f t="shared" si="53"/>
        <v>0</v>
      </c>
      <c r="O25" s="17">
        <f t="shared" si="54"/>
        <v>0</v>
      </c>
      <c r="P25" s="17">
        <f t="shared" si="55"/>
        <v>0</v>
      </c>
      <c r="Q25" s="17">
        <f>V25+AA25+AF25</f>
        <v>0</v>
      </c>
      <c r="R25" s="19">
        <f>S25+T25+U25+V25</f>
        <v>0</v>
      </c>
      <c r="S25" s="19"/>
      <c r="T25" s="19"/>
      <c r="U25" s="19"/>
      <c r="V25" s="19"/>
      <c r="W25" s="21">
        <f>X25+Y25+Z25+AA25</f>
        <v>0</v>
      </c>
      <c r="X25" s="21"/>
      <c r="Y25" s="21"/>
      <c r="Z25" s="21"/>
      <c r="AA25" s="21"/>
      <c r="AB25" s="17">
        <f>AC25+AD25+AE25+AF25</f>
        <v>0</v>
      </c>
      <c r="AC25" s="17"/>
      <c r="AD25" s="17"/>
      <c r="AE25" s="17"/>
      <c r="AF25" s="17"/>
      <c r="AG25" s="17">
        <f>AH25+AI25+AJ25+AK25</f>
        <v>0</v>
      </c>
      <c r="AH25" s="17"/>
      <c r="AI25" s="17"/>
      <c r="AJ25" s="17"/>
      <c r="AK25" s="17"/>
      <c r="AL25" s="17">
        <f>B25-M25</f>
        <v>0</v>
      </c>
      <c r="AM25" s="17">
        <f t="shared" si="56"/>
        <v>0</v>
      </c>
      <c r="AN25" s="17"/>
      <c r="AO25" s="17"/>
      <c r="AP25" s="17">
        <f>AQ25-AR25</f>
        <v>0</v>
      </c>
      <c r="AQ25" s="17"/>
      <c r="AR25" s="17"/>
      <c r="AS25" s="17"/>
      <c r="AT25" s="17"/>
      <c r="AU25" s="18">
        <f>AL25</f>
        <v>0</v>
      </c>
      <c r="AV25" s="17"/>
      <c r="AW25" s="17"/>
      <c r="AX25" s="17"/>
      <c r="AY25" s="17"/>
      <c r="AZ25" s="17"/>
      <c r="BA25" s="17"/>
      <c r="BB25" s="17"/>
      <c r="BC25" s="17">
        <f t="shared" si="57"/>
        <v>0</v>
      </c>
      <c r="BD25" s="17"/>
      <c r="BE25" s="17"/>
      <c r="BF25" s="17"/>
      <c r="BG25" s="17">
        <f t="shared" si="58"/>
        <v>0</v>
      </c>
      <c r="BH25" s="17"/>
      <c r="BI25" s="17"/>
      <c r="BJ25" s="18">
        <v>0</v>
      </c>
      <c r="BK25" s="17"/>
      <c r="BL25" s="18">
        <f t="shared" si="59"/>
        <v>0</v>
      </c>
      <c r="BM25" s="18">
        <v>0</v>
      </c>
      <c r="BN25" s="18">
        <v>0</v>
      </c>
      <c r="BO25" s="18">
        <v>0</v>
      </c>
      <c r="BP25" s="17"/>
      <c r="BQ25" s="18">
        <f t="shared" si="60"/>
        <v>0</v>
      </c>
      <c r="BR25" s="18">
        <v>0</v>
      </c>
      <c r="BS25" s="18">
        <v>0</v>
      </c>
      <c r="BT25" s="18">
        <v>0</v>
      </c>
      <c r="BU25" s="18">
        <v>0</v>
      </c>
      <c r="BV25" s="18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0</v>
      </c>
      <c r="CC25" s="18">
        <f t="shared" si="61"/>
        <v>0</v>
      </c>
      <c r="CD25" s="18">
        <v>0</v>
      </c>
      <c r="CE25" s="18">
        <v>0</v>
      </c>
      <c r="CF25" s="18">
        <v>0</v>
      </c>
      <c r="CG25" s="18">
        <v>0</v>
      </c>
      <c r="CH25" s="18">
        <v>0</v>
      </c>
    </row>
    <row r="26" spans="1:86">
      <c r="B26" s="28"/>
      <c r="S26" s="26"/>
      <c r="U26" s="26"/>
    </row>
    <row r="27" spans="1:86">
      <c r="R27" s="26"/>
    </row>
    <row r="28" spans="1:86" ht="15" customHeight="1">
      <c r="C28" s="4" t="s">
        <v>83</v>
      </c>
      <c r="H28" s="4" t="s">
        <v>84</v>
      </c>
      <c r="M28" s="110" t="s">
        <v>85</v>
      </c>
      <c r="N28" s="110"/>
      <c r="O28" s="110"/>
      <c r="P28" s="110"/>
      <c r="Q28" s="110"/>
      <c r="R28" s="110"/>
      <c r="S28" s="110"/>
      <c r="T28" s="110"/>
      <c r="U28" s="110"/>
      <c r="V28" s="110"/>
      <c r="W28" s="22"/>
      <c r="X28" s="22"/>
      <c r="Y28" s="22"/>
      <c r="Z28" s="22"/>
      <c r="AA28" s="22"/>
      <c r="BQ28" s="111" t="s">
        <v>86</v>
      </c>
      <c r="BR28" s="111"/>
      <c r="BS28" s="111"/>
      <c r="BT28" s="111"/>
      <c r="BU28" s="111"/>
      <c r="BV28" s="111"/>
      <c r="BW28" s="111"/>
      <c r="BX28" s="111"/>
      <c r="BY28" s="111"/>
      <c r="BZ28" s="111"/>
      <c r="CA28" s="111"/>
      <c r="CB28" s="111"/>
      <c r="CC28" s="111"/>
      <c r="CD28" s="34"/>
      <c r="CE28" s="34"/>
      <c r="CF28" s="34"/>
    </row>
    <row r="29" spans="1:86"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22"/>
      <c r="X29" s="22"/>
      <c r="Y29" s="22"/>
      <c r="Z29" s="22"/>
      <c r="AA29" s="22"/>
      <c r="BQ29" s="111"/>
      <c r="BR29" s="111"/>
      <c r="BS29" s="111"/>
      <c r="BT29" s="111"/>
      <c r="BU29" s="111"/>
      <c r="BV29" s="111"/>
      <c r="BW29" s="111"/>
      <c r="BX29" s="111"/>
      <c r="BY29" s="111"/>
      <c r="BZ29" s="111"/>
      <c r="CA29" s="111"/>
      <c r="CB29" s="111"/>
      <c r="CC29" s="111"/>
      <c r="CD29" s="34"/>
      <c r="CE29" s="34"/>
      <c r="CF29" s="34"/>
    </row>
    <row r="30" spans="1:86">
      <c r="B30" s="4" t="s">
        <v>87</v>
      </c>
      <c r="C30" s="4" t="s">
        <v>88</v>
      </c>
    </row>
    <row r="31" spans="1:86">
      <c r="B31" s="4" t="s">
        <v>89</v>
      </c>
    </row>
  </sheetData>
  <mergeCells count="100">
    <mergeCell ref="M28:V29"/>
    <mergeCell ref="BQ28:CC29"/>
    <mergeCell ref="AL6:AL9"/>
    <mergeCell ref="AM8:AM9"/>
    <mergeCell ref="AH7:AK7"/>
    <mergeCell ref="AI8:AI9"/>
    <mergeCell ref="BG7:BG9"/>
    <mergeCell ref="BD7:BF7"/>
    <mergeCell ref="AM6:AU6"/>
    <mergeCell ref="BC6:BJ6"/>
    <mergeCell ref="BD8:BD9"/>
    <mergeCell ref="BA8:BA9"/>
    <mergeCell ref="BH8:BH9"/>
    <mergeCell ref="BC7:BC9"/>
    <mergeCell ref="BF8:BF9"/>
    <mergeCell ref="BH7:BJ7"/>
    <mergeCell ref="AQ8:AQ9"/>
    <mergeCell ref="AM7:AO7"/>
    <mergeCell ref="AP7:AR7"/>
    <mergeCell ref="AN8:AN9"/>
    <mergeCell ref="J1:L1"/>
    <mergeCell ref="N7:Q7"/>
    <mergeCell ref="Z8:Z9"/>
    <mergeCell ref="W7:W9"/>
    <mergeCell ref="X7:AA7"/>
    <mergeCell ref="S7:V7"/>
    <mergeCell ref="K7:K9"/>
    <mergeCell ref="J7:J9"/>
    <mergeCell ref="U8:U9"/>
    <mergeCell ref="T8:T9"/>
    <mergeCell ref="AJ8:AJ9"/>
    <mergeCell ref="AR8:AR9"/>
    <mergeCell ref="BE8:BE9"/>
    <mergeCell ref="AW7:BB7"/>
    <mergeCell ref="AW8:AW9"/>
    <mergeCell ref="Q8:Q9"/>
    <mergeCell ref="AC8:AC9"/>
    <mergeCell ref="X8:X9"/>
    <mergeCell ref="AB7:AB9"/>
    <mergeCell ref="AG7:AG9"/>
    <mergeCell ref="AH8:AH9"/>
    <mergeCell ref="AC7:AF7"/>
    <mergeCell ref="AK8:AK9"/>
    <mergeCell ref="AD8:AD9"/>
    <mergeCell ref="AE8:AE9"/>
    <mergeCell ref="AT7:AT9"/>
    <mergeCell ref="AU7:AU9"/>
    <mergeCell ref="AO8:AO9"/>
    <mergeCell ref="CC8:CC9"/>
    <mergeCell ref="BP8:BP9"/>
    <mergeCell ref="BJ8:BJ9"/>
    <mergeCell ref="BZ8:CB8"/>
    <mergeCell ref="BY8:BY9"/>
    <mergeCell ref="BT8:BT9"/>
    <mergeCell ref="BK8:BK9"/>
    <mergeCell ref="BS8:BS9"/>
    <mergeCell ref="BR8:BR9"/>
    <mergeCell ref="BQ7:BQ9"/>
    <mergeCell ref="BV8:BX8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N8:N9"/>
    <mergeCell ref="O8:O9"/>
    <mergeCell ref="AV6:BB6"/>
    <mergeCell ref="AY8:AY9"/>
    <mergeCell ref="AP8:AP9"/>
    <mergeCell ref="BQ6:CH6"/>
    <mergeCell ref="CH8:CH9"/>
    <mergeCell ref="BR7:CF7"/>
    <mergeCell ref="BK7:BP7"/>
    <mergeCell ref="CD8:CF8"/>
    <mergeCell ref="BU8:BU9"/>
    <mergeCell ref="BK6:BP6"/>
    <mergeCell ref="AV7:AV9"/>
    <mergeCell ref="AS7:AS9"/>
    <mergeCell ref="BI8:BI9"/>
    <mergeCell ref="CG7:CG9"/>
    <mergeCell ref="BN8:BN9"/>
    <mergeCell ref="BL8:BL9"/>
    <mergeCell ref="AB6:AF6"/>
    <mergeCell ref="AF8:AF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</mergeCells>
  <phoneticPr fontId="12" type="noConversion"/>
  <printOptions horizontalCentered="1"/>
  <pageMargins left="0" right="0" top="0" bottom="0" header="0" footer="0"/>
  <pageSetup paperSize="9" scale="50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2023-10-11T09:16:05Z</cp:lastPrinted>
  <dcterms:created xsi:type="dcterms:W3CDTF">2014-08-27T12:59:30Z</dcterms:created>
  <dcterms:modified xsi:type="dcterms:W3CDTF">2023-10-11T09:16:08Z</dcterms:modified>
</cp:coreProperties>
</file>