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Приложение 1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'Приложение 1'!$A:$A</definedName>
    <definedName name="_xlnm.Print_Area" localSheetId="0">'Приложение 1'!$A$1:$CH$25</definedName>
  </definedNames>
  <calcPr calcId="124519"/>
</workbook>
</file>

<file path=xl/calcChain.xml><?xml version="1.0" encoding="utf-8"?>
<calcChain xmlns="http://schemas.openxmlformats.org/spreadsheetml/2006/main">
  <c r="J11" i="1"/>
  <c r="C12" l="1"/>
  <c r="F5"/>
  <c r="C11"/>
  <c r="B11"/>
  <c r="B14" s="1"/>
  <c r="B15"/>
  <c r="S12"/>
  <c r="U26" s="1"/>
  <c r="L13" l="1"/>
  <c r="U12"/>
  <c r="U21"/>
  <c r="U22"/>
  <c r="T22"/>
  <c r="T21"/>
  <c r="T12"/>
  <c r="S21"/>
  <c r="S22"/>
  <c r="R22"/>
  <c r="J22"/>
  <c r="G22"/>
  <c r="J21"/>
  <c r="G21"/>
  <c r="J20"/>
  <c r="G20"/>
  <c r="J19"/>
  <c r="G19"/>
  <c r="J18" l="1"/>
  <c r="I18"/>
  <c r="G18"/>
  <c r="J17"/>
  <c r="J16"/>
  <c r="G16"/>
  <c r="J15"/>
  <c r="J12"/>
  <c r="G12"/>
  <c r="BH12"/>
  <c r="BB22"/>
  <c r="BB21"/>
  <c r="BB20"/>
  <c r="BB19"/>
  <c r="BB18"/>
  <c r="BB17"/>
  <c r="BB16"/>
  <c r="BB15"/>
  <c r="BA12"/>
  <c r="BB12"/>
  <c r="BH20" l="1"/>
  <c r="BH15"/>
  <c r="BH16"/>
  <c r="BI16"/>
  <c r="BH17"/>
  <c r="BI17"/>
  <c r="BH18"/>
  <c r="BH19"/>
  <c r="BH21"/>
  <c r="BC11"/>
  <c r="BR13" l="1"/>
  <c r="BS13"/>
  <c r="BT13"/>
  <c r="BU13"/>
  <c r="BV13"/>
  <c r="BW13"/>
  <c r="BX13"/>
  <c r="BY13"/>
  <c r="BZ13"/>
  <c r="CA13"/>
  <c r="CB13"/>
  <c r="CD13"/>
  <c r="CE13"/>
  <c r="CF13"/>
  <c r="CG13"/>
  <c r="CH13"/>
  <c r="AG13"/>
  <c r="AH13"/>
  <c r="AI13"/>
  <c r="AJ13"/>
  <c r="AK13"/>
  <c r="BA17" l="1"/>
  <c r="BA18"/>
  <c r="BA19"/>
  <c r="BA20"/>
  <c r="BA21"/>
  <c r="BA22"/>
  <c r="BA16"/>
  <c r="BA15"/>
  <c r="AF15"/>
  <c r="AF16"/>
  <c r="AF17"/>
  <c r="AF18"/>
  <c r="AF19"/>
  <c r="AF20"/>
  <c r="AF21"/>
  <c r="AF22"/>
  <c r="AF12"/>
  <c r="AA12"/>
  <c r="V16"/>
  <c r="V17"/>
  <c r="V18"/>
  <c r="V19"/>
  <c r="V20"/>
  <c r="V21"/>
  <c r="V22"/>
  <c r="V15"/>
  <c r="V12"/>
  <c r="BG19"/>
  <c r="CC20"/>
  <c r="CC19"/>
  <c r="CC18"/>
  <c r="CC17"/>
  <c r="CC16"/>
  <c r="CC15"/>
  <c r="CC23"/>
  <c r="CC24"/>
  <c r="CC25"/>
  <c r="CC22"/>
  <c r="CC12"/>
  <c r="CC21"/>
  <c r="CC13" s="1"/>
  <c r="AE13" l="1"/>
  <c r="BD15"/>
  <c r="BD16"/>
  <c r="BD17"/>
  <c r="BD18"/>
  <c r="BD19"/>
  <c r="BD20"/>
  <c r="BD22"/>
  <c r="BD12"/>
  <c r="BQ21"/>
  <c r="BQ20"/>
  <c r="BQ19"/>
  <c r="BQ18"/>
  <c r="BQ17"/>
  <c r="BQ16"/>
  <c r="BQ15"/>
  <c r="BM22"/>
  <c r="BM20"/>
  <c r="BM19"/>
  <c r="BM18"/>
  <c r="BM17"/>
  <c r="BM16"/>
  <c r="BM15"/>
  <c r="BM21"/>
  <c r="BG17" l="1"/>
  <c r="BG18"/>
  <c r="BG22"/>
  <c r="BG12"/>
  <c r="BL15"/>
  <c r="BP15" s="1"/>
  <c r="BG15"/>
  <c r="BC15"/>
  <c r="AP15"/>
  <c r="AM15"/>
  <c r="AG15"/>
  <c r="W15"/>
  <c r="P15"/>
  <c r="O15"/>
  <c r="C15"/>
  <c r="BL16"/>
  <c r="BP16" s="1"/>
  <c r="BG16"/>
  <c r="BC16"/>
  <c r="AP16"/>
  <c r="AM16"/>
  <c r="AG16"/>
  <c r="W16"/>
  <c r="P16"/>
  <c r="O16"/>
  <c r="C16"/>
  <c r="B16" s="1"/>
  <c r="BL17"/>
  <c r="BP17" s="1"/>
  <c r="BC17"/>
  <c r="AP17"/>
  <c r="AM17"/>
  <c r="AG17"/>
  <c r="W17"/>
  <c r="P17"/>
  <c r="O17"/>
  <c r="C17"/>
  <c r="B17" s="1"/>
  <c r="BL18"/>
  <c r="BP18" s="1"/>
  <c r="BC18"/>
  <c r="AP18"/>
  <c r="AM18"/>
  <c r="AG18"/>
  <c r="W18"/>
  <c r="P18"/>
  <c r="O18"/>
  <c r="C18"/>
  <c r="B18" s="1"/>
  <c r="BL19"/>
  <c r="BP19" s="1"/>
  <c r="BC19"/>
  <c r="AP19"/>
  <c r="AM19"/>
  <c r="AG19"/>
  <c r="W19"/>
  <c r="P19"/>
  <c r="O19"/>
  <c r="C19"/>
  <c r="B19" s="1"/>
  <c r="BL20"/>
  <c r="BP20" s="1"/>
  <c r="BG20"/>
  <c r="BC20"/>
  <c r="AP20"/>
  <c r="AM20"/>
  <c r="AG20"/>
  <c r="W20"/>
  <c r="P20"/>
  <c r="O20"/>
  <c r="C20"/>
  <c r="B20" s="1"/>
  <c r="BL21"/>
  <c r="BP21" s="1"/>
  <c r="BG21"/>
  <c r="BC21"/>
  <c r="AP21"/>
  <c r="AM21"/>
  <c r="AG21"/>
  <c r="W21"/>
  <c r="O21"/>
  <c r="P21"/>
  <c r="C21"/>
  <c r="B21" s="1"/>
  <c r="BQ22"/>
  <c r="BL22"/>
  <c r="BP22" s="1"/>
  <c r="BC22"/>
  <c r="BB13"/>
  <c r="AP22"/>
  <c r="AM22"/>
  <c r="AG22"/>
  <c r="W22"/>
  <c r="P22"/>
  <c r="C22"/>
  <c r="B22" s="1"/>
  <c r="CD11"/>
  <c r="CC11"/>
  <c r="CB11"/>
  <c r="CA11"/>
  <c r="BZ11"/>
  <c r="BY11"/>
  <c r="BX11"/>
  <c r="BW11"/>
  <c r="BV11"/>
  <c r="BU11"/>
  <c r="BT11"/>
  <c r="BS11"/>
  <c r="BR11"/>
  <c r="BO13"/>
  <c r="BO11" s="1"/>
  <c r="BN13"/>
  <c r="BN11" s="1"/>
  <c r="BM13"/>
  <c r="BM11" s="1"/>
  <c r="BK13"/>
  <c r="BK11" s="1"/>
  <c r="BJ13"/>
  <c r="BJ11" s="1"/>
  <c r="BI13"/>
  <c r="BI11" s="1"/>
  <c r="BF13"/>
  <c r="BF11" s="1"/>
  <c r="BE13"/>
  <c r="BD13"/>
  <c r="BD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O11" s="1"/>
  <c r="AN13"/>
  <c r="AJ11"/>
  <c r="AI11"/>
  <c r="AH1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L11"/>
  <c r="K13"/>
  <c r="K11" s="1"/>
  <c r="J13"/>
  <c r="H13"/>
  <c r="H11" s="1"/>
  <c r="G13"/>
  <c r="G11" s="1"/>
  <c r="F13"/>
  <c r="F11" s="1"/>
  <c r="E13"/>
  <c r="E11" s="1"/>
  <c r="D13"/>
  <c r="D11" s="1"/>
  <c r="BQ12"/>
  <c r="BL12"/>
  <c r="BC12"/>
  <c r="AP12"/>
  <c r="AM12"/>
  <c r="AG12"/>
  <c r="Q12"/>
  <c r="O12"/>
  <c r="P12"/>
  <c r="B12"/>
  <c r="BE11"/>
  <c r="AS11"/>
  <c r="AK11"/>
  <c r="Y11"/>
  <c r="I11"/>
  <c r="AM13" l="1"/>
  <c r="P11"/>
  <c r="BP13"/>
  <c r="BP11" s="1"/>
  <c r="BH13"/>
  <c r="BG13" s="1"/>
  <c r="Q22"/>
  <c r="V13"/>
  <c r="V11" s="1"/>
  <c r="BB11"/>
  <c r="AV13"/>
  <c r="AV11" s="1"/>
  <c r="O11"/>
  <c r="AP11"/>
  <c r="BC13"/>
  <c r="O22"/>
  <c r="AP13"/>
  <c r="N22"/>
  <c r="N12"/>
  <c r="M12" s="1"/>
  <c r="AL12" s="1"/>
  <c r="AU12" s="1"/>
  <c r="I13"/>
  <c r="BA13"/>
  <c r="BA11" s="1"/>
  <c r="AN11"/>
  <c r="AM11" s="1"/>
  <c r="BH11" l="1"/>
  <c r="BG11" s="1"/>
  <c r="M22"/>
  <c r="R11"/>
  <c r="AL22" l="1"/>
  <c r="AU22" l="1"/>
  <c r="BQ25" l="1"/>
  <c r="BL25"/>
  <c r="BG25"/>
  <c r="BC25"/>
  <c r="AP25"/>
  <c r="AM25"/>
  <c r="AG25"/>
  <c r="AB25"/>
  <c r="W25"/>
  <c r="R25"/>
  <c r="Q25"/>
  <c r="P25"/>
  <c r="O25"/>
  <c r="N25"/>
  <c r="C25"/>
  <c r="B25" s="1"/>
  <c r="BQ24"/>
  <c r="BL24"/>
  <c r="BG24"/>
  <c r="BC24"/>
  <c r="AP24"/>
  <c r="AM24"/>
  <c r="AG24"/>
  <c r="AB24"/>
  <c r="W24"/>
  <c r="R24"/>
  <c r="Q24"/>
  <c r="P24"/>
  <c r="O24"/>
  <c r="N24"/>
  <c r="C24"/>
  <c r="B24" s="1"/>
  <c r="BQ23"/>
  <c r="BL23"/>
  <c r="BG23"/>
  <c r="BC23"/>
  <c r="AP23"/>
  <c r="AM23"/>
  <c r="AG23"/>
  <c r="AB23"/>
  <c r="W23"/>
  <c r="R23"/>
  <c r="Q23"/>
  <c r="P23"/>
  <c r="O23"/>
  <c r="N23"/>
  <c r="C23"/>
  <c r="B23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N21"/>
  <c r="Q21"/>
  <c r="BQ13" l="1"/>
  <c r="BQ11" s="1"/>
  <c r="AG11"/>
  <c r="M23"/>
  <c r="AL23" s="1"/>
  <c r="AU23" s="1"/>
  <c r="R13"/>
  <c r="M24"/>
  <c r="AL24" s="1"/>
  <c r="AU24" s="1"/>
  <c r="M25"/>
  <c r="AL25" s="1"/>
  <c r="AU25" s="1"/>
  <c r="B13"/>
  <c r="O13"/>
  <c r="W13"/>
  <c r="W11" s="1"/>
  <c r="C13"/>
  <c r="P13"/>
  <c r="BL13"/>
  <c r="BL11" s="1"/>
  <c r="M21"/>
  <c r="AL21" l="1"/>
  <c r="AU21" l="1"/>
  <c r="N20"/>
  <c r="Q20"/>
  <c r="M20" l="1"/>
  <c r="AL20" l="1"/>
  <c r="AU20" l="1"/>
  <c r="N19"/>
  <c r="Q19"/>
  <c r="M19" l="1"/>
  <c r="AL19" l="1"/>
  <c r="AU19" l="1"/>
  <c r="N18"/>
  <c r="Q18"/>
  <c r="M18" l="1"/>
  <c r="AL18" l="1"/>
  <c r="AU18" l="1"/>
  <c r="N17"/>
  <c r="Q17"/>
  <c r="M17" l="1"/>
  <c r="AL17" l="1"/>
  <c r="AU17" l="1"/>
  <c r="N16"/>
  <c r="Q16"/>
  <c r="M16" l="1"/>
  <c r="AL16" l="1"/>
  <c r="AU16" l="1"/>
  <c r="AC13"/>
  <c r="AC11" s="1"/>
  <c r="N15"/>
  <c r="N13" s="1"/>
  <c r="AB13"/>
  <c r="Q15"/>
  <c r="Q13" l="1"/>
  <c r="M15"/>
  <c r="N11"/>
  <c r="AF13"/>
  <c r="AF11" s="1"/>
  <c r="AB11" l="1"/>
  <c r="AL15"/>
  <c r="AL13" s="1"/>
  <c r="M13"/>
  <c r="Q11" l="1"/>
  <c r="M11" s="1"/>
  <c r="AL11"/>
  <c r="AU15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<sst xmlns="http://schemas.openxmlformats.org/spreadsheetml/2006/main" count="143" uniqueCount="91">
  <si>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</si>
  <si>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</si>
  <si>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</si>
  <si>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</si>
  <si>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</si>
  <si>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</si>
  <si>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</si>
  <si>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</si>
  <si>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</si>
  <si>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</si>
  <si>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</si>
  <si>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</si>
  <si>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</si>
  <si>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</si>
  <si>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</si>
  <si>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</si>
  <si>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</si>
  <si>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</si>
  <si>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</si>
  <si>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</si>
  <si>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</si>
  <si>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</si>
  <si>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</si>
  <si>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</si>
  <si>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</si>
  <si>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</si>
  <si>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</si>
  <si>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</si>
  <si>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</si>
  <si>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</si>
  <si>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</si>
  <si>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</si>
  <si>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</si>
  <si>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</si>
  <si>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</si>
  <si>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</si>
  <si>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</si>
  <si>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</si>
  <si>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</si>
  <si>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</si>
  <si>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</si>
  <si>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</si>
  <si>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</si>
  <si>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</si>
  <si>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</si>
  <si>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</si>
  <si>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Расходы за счет доходов от оказания платных услуг и компенсации затрат государства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</si>
  <si>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</si>
  <si>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</si>
  <si>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</si>
  <si>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</si>
  <si>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</si>
  <si>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</si>
  <si>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</si>
  <si>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</si>
  <si>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</si>
  <si>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</si>
  <si>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</si>
  <si>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</si>
  <si>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</si>
  <si>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</si>
  <si>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</si>
  <si>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</si>
  <si>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</si>
  <si>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</si>
  <si>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</si>
  <si>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</si>
  <si>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</si>
  <si>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</si>
  <si>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</si>
  <si>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</si>
  <si>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</si>
  <si>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</si>
  <si>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</si>
  <si>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</si>
  <si>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</si>
  <si>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</si>
  <si>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</si>
  <si>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</si>
  <si>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</si>
  <si>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</si>
  <si>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</si>
  <si>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</si>
  <si>
    <t>Руководитель финансового органа</t>
  </si>
  <si>
    <t>Д.А.Хлебаев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</si>
  <si>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</si>
  <si>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**с учетом задолженности по казенным, бюджетным и автономным учреждениям</t>
  </si>
  <si>
    <t>Исполнитель: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</si>
  <si>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</si>
  <si>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</si>
  <si>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октября 2022г.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</si>
</sst>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10" fillId="0" borderId="0"/>
    <xf numFmtId="0" fontId="10" fillId="0" borderId="0"/>
  </cellStyleXfs>
  <cellXfs count="130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0" fontId="13" fillId="4" borderId="1" xfId="12" applyFont="1" applyFill="1" applyBorder="1"/>
    <xf numFmtId="0" fontId="5" fillId="0" borderId="1" xfId="12" applyFont="1" applyBorder="1"/>
    <xf numFmtId="0" fontId="19" fillId="4" borderId="1" xfId="0" applyFont="1" applyFill="1" applyBorder="1" applyAlignment="1" applyProtection="1">
      <alignment vertical="center" wrapText="1"/>
      <protection locked="0"/>
    </xf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12" applyFont="1" applyFill="1" applyBorder="1"/>
    <xf numFmtId="167" fontId="21" fillId="0" borderId="1" xfId="12" applyNumberFormat="1" applyFont="1" applyBorder="1" applyAlignment="1">
      <alignment horizontal="center"/>
    </xf>
    <xf numFmtId="167" fontId="13" fillId="0" borderId="1" xfId="12" applyNumberFormat="1" applyFont="1" applyBorder="1" applyAlignment="1">
      <alignment horizontal="center"/>
    </xf>
    <xf numFmtId="0" fontId="13" fillId="3" borderId="0" xfId="12" applyFont="1" applyFill="1" applyAlignment="1">
      <alignment horizontal="center" vertical="top" wrapText="1"/>
    </xf>
    <xf numFmtId="167" fontId="13" fillId="0" borderId="3" xfId="12" applyNumberFormat="1" applyFont="1" applyBorder="1"/>
    <xf numFmtId="0" fontId="13" fillId="0" borderId="3" xfId="12" applyFont="1" applyBorder="1"/>
    <xf numFmtId="0" fontId="22" fillId="0" borderId="0" xfId="12" applyFont="1" applyAlignment="1">
      <alignment horizontal="center" wrapText="1"/>
    </xf>
    <xf numFmtId="0" fontId="7" fillId="0" borderId="1" xfId="12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0" fontId="21" fillId="2" borderId="0" xfId="12" applyFont="1" applyFill="1"/>
    <xf numFmtId="0" fontId="24" fillId="2" borderId="0" xfId="12" applyFont="1" applyFill="1"/>
    <xf numFmtId="0" fontId="21" fillId="2" borderId="1" xfId="12" applyFont="1" applyFill="1" applyBorder="1"/>
    <xf numFmtId="3" fontId="2" fillId="0" borderId="1" xfId="4" applyNumberFormat="1" applyFont="1" applyFill="1" applyBorder="1" applyAlignment="1">
      <alignment horizontal="center" vertical="center" wrapText="1"/>
    </xf>
    <xf numFmtId="167" fontId="21" fillId="2" borderId="0" xfId="12" applyNumberFormat="1" applyFont="1" applyFill="1"/>
    <xf numFmtId="167" fontId="13" fillId="2" borderId="0" xfId="12" applyNumberFormat="1" applyFont="1" applyFill="1"/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21" fillId="0" borderId="1" xfId="12" applyNumberFormat="1" applyFont="1" applyFill="1" applyBorder="1" applyAlignment="1">
      <alignment horizontal="center"/>
    </xf>
    <xf numFmtId="167" fontId="21" fillId="11" borderId="1" xfId="12" applyNumberFormat="1" applyFont="1" applyFill="1" applyBorder="1" applyAlignment="1">
      <alignment horizontal="center"/>
    </xf>
    <xf numFmtId="167" fontId="13" fillId="0" borderId="1" xfId="21" applyNumberFormat="1" applyFont="1" applyFill="1" applyBorder="1" applyAlignment="1" applyProtection="1">
      <alignment horizontal="center"/>
      <protection hidden="1"/>
    </xf>
    <xf numFmtId="167" fontId="13" fillId="0" borderId="1" xfId="18" applyNumberFormat="1" applyFont="1" applyFill="1" applyBorder="1" applyAlignment="1" applyProtection="1">
      <alignment horizontal="center"/>
      <protection hidden="1"/>
    </xf>
    <xf numFmtId="167" fontId="13" fillId="0" borderId="1" xfId="20" applyNumberFormat="1" applyFont="1" applyFill="1" applyBorder="1" applyAlignment="1" applyProtection="1">
      <alignment horizontal="center"/>
      <protection hidden="1"/>
    </xf>
    <xf numFmtId="167" fontId="13" fillId="0" borderId="1" xfId="19" applyNumberFormat="1" applyFont="1" applyFill="1" applyBorder="1" applyAlignment="1" applyProtection="1">
      <alignment horizontal="center"/>
      <protection hidden="1"/>
    </xf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0" borderId="14" xfId="27" applyNumberFormat="1" applyFont="1" applyFill="1" applyBorder="1" applyAlignment="1" applyProtection="1">
      <alignment horizontal="center" wrapText="1"/>
      <protection hidden="1"/>
    </xf>
    <xf numFmtId="167" fontId="13" fillId="0" borderId="1" xfId="4" applyNumberFormat="1" applyFont="1" applyFill="1" applyBorder="1" applyAlignment="1" applyProtection="1">
      <alignment horizontal="center" vertical="center"/>
      <protection locked="0"/>
    </xf>
    <xf numFmtId="167" fontId="13" fillId="0" borderId="5" xfId="27" applyNumberFormat="1" applyFont="1" applyFill="1" applyBorder="1" applyAlignment="1" applyProtection="1">
      <alignment horizontal="center" wrapText="1"/>
      <protection hidden="1"/>
    </xf>
    <xf numFmtId="167" fontId="13" fillId="0" borderId="1" xfId="22" applyNumberFormat="1" applyFont="1" applyFill="1" applyBorder="1" applyAlignment="1" applyProtection="1">
      <alignment horizontal="center"/>
      <protection hidden="1"/>
    </xf>
    <xf numFmtId="167" fontId="13" fillId="0" borderId="1" xfId="23" applyNumberFormat="1" applyFont="1" applyFill="1" applyBorder="1" applyAlignment="1" applyProtection="1">
      <alignment horizontal="center"/>
      <protection hidden="1"/>
    </xf>
    <xf numFmtId="167" fontId="13" fillId="3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 wrapText="1"/>
    </xf>
    <xf numFmtId="167" fontId="13" fillId="11" borderId="5" xfId="24" applyNumberFormat="1" applyFont="1" applyFill="1" applyBorder="1" applyAlignment="1" applyProtection="1">
      <alignment horizontal="center"/>
      <protection hidden="1"/>
    </xf>
    <xf numFmtId="167" fontId="13" fillId="11" borderId="5" xfId="25" applyNumberFormat="1" applyFont="1" applyFill="1" applyBorder="1" applyAlignment="1" applyProtection="1">
      <alignment horizontal="center"/>
      <protection hidden="1"/>
    </xf>
    <xf numFmtId="167" fontId="13" fillId="11" borderId="5" xfId="26" applyNumberFormat="1" applyFont="1" applyFill="1" applyBorder="1" applyAlignment="1" applyProtection="1">
      <alignment horizontal="center"/>
      <protection hidden="1"/>
    </xf>
    <xf numFmtId="0" fontId="13" fillId="0" borderId="0" xfId="12" applyFont="1" applyAlignment="1">
      <alignment horizontal="center" vertical="top" wrapText="1"/>
    </xf>
    <xf numFmtId="0" fontId="22" fillId="0" borderId="0" xfId="12" applyFont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15" fillId="8" borderId="1" xfId="12" applyFont="1" applyFill="1" applyBorder="1" applyAlignment="1">
      <alignment horizontal="center"/>
    </xf>
    <xf numFmtId="0" fontId="15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167" fontId="13" fillId="0" borderId="0" xfId="12" applyNumberFormat="1" applyFont="1"/>
    <xf numFmtId="167" fontId="13" fillId="6" borderId="1" xfId="12" applyNumberFormat="1" applyFont="1" applyFill="1" applyBorder="1" applyAlignment="1">
      <alignment horizontal="center"/>
    </xf>
  </cellXfs>
  <cellStyles count="28">
    <cellStyle name="Денежный 2" xfId="1"/>
    <cellStyle name="для вывода показателей" xfId="2"/>
    <cellStyle name="Обычный" xfId="0" builtinId="0"/>
    <cellStyle name="Обычный 10" xfId="20"/>
    <cellStyle name="Обычный 11" xfId="21"/>
    <cellStyle name="Обычный 12" xfId="24"/>
    <cellStyle name="Обычный 13" xfId="25"/>
    <cellStyle name="Обычный 14" xfId="26"/>
    <cellStyle name="Обычный 15" xfId="27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 6" xfId="22"/>
    <cellStyle name="Обычный 7" xfId="23"/>
    <cellStyle name="Обычный 8" xfId="18"/>
    <cellStyle name="Обычный 9" xfId="19"/>
    <cellStyle name="Обычный_tmp" xfId="16"/>
    <cellStyle name="Финансовый 2" xfId="17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E11" activePane="bottomRight" state="frozen"/>
      <selection activeCell="A4" sqref="A4"/>
      <selection pane="topRight" activeCell="B4" sqref="B4"/>
      <selection pane="bottomLeft" activeCell="A11" sqref="A11"/>
      <selection pane="bottomRight" activeCell="AU4" sqref="AU1:AU1048576"/>
    </sheetView>
  </sheetViews>
  <sheetFormatPr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36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7.42578125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8.28515625" style="4" customWidth="1"/>
    <col min="70" max="70" width="8" style="4" customWidth="1"/>
    <col min="71" max="80" width="4.85546875" style="4" customWidth="1"/>
    <col min="81" max="81" width="7.42578125" style="4" customWidth="1"/>
    <col min="82" max="82" width="7.28515625" style="4" customWidth="1"/>
    <col min="83" max="86" width="4.85546875" style="4" customWidth="1"/>
    <col min="87" max="16384" width="9.140625" style="4"/>
  </cols>
  <sheetData>
    <row r="1" spans="1:88">
      <c r="J1" s="78" t="s">
        <v>66</v>
      </c>
      <c r="K1" s="78"/>
      <c r="L1" s="78"/>
    </row>
    <row r="2" spans="1:88" ht="15" customHeight="1">
      <c r="J2" s="122" t="s">
        <v>69</v>
      </c>
      <c r="K2" s="122"/>
      <c r="L2" s="122"/>
    </row>
    <row r="3" spans="1:88" s="7" customFormat="1" ht="33" customHeight="1">
      <c r="A3" s="14"/>
      <c r="B3" s="118" t="s">
        <v>90</v>
      </c>
      <c r="C3" s="118"/>
      <c r="D3" s="118"/>
      <c r="E3" s="118"/>
      <c r="F3" s="118"/>
      <c r="G3" s="118"/>
      <c r="H3" s="118"/>
      <c r="I3" s="118"/>
      <c r="J3" s="122"/>
      <c r="K3" s="122"/>
      <c r="L3" s="122"/>
      <c r="R3" s="8"/>
      <c r="S3" s="37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122"/>
      <c r="K4" s="122"/>
      <c r="L4" s="122"/>
      <c r="R4" s="8"/>
      <c r="S4" s="37"/>
      <c r="T4" s="8"/>
      <c r="U4" s="8"/>
      <c r="V4" s="8"/>
      <c r="W4" s="9"/>
      <c r="X4" s="9"/>
      <c r="Y4" s="9"/>
      <c r="Z4" s="9"/>
      <c r="AA4" s="9"/>
    </row>
    <row r="5" spans="1:88">
      <c r="F5" s="128">
        <f>D12+G12</f>
        <v>71453.729099999997</v>
      </c>
      <c r="K5" s="125" t="s">
        <v>52</v>
      </c>
      <c r="L5" s="125"/>
    </row>
    <row r="6" spans="1:88" ht="15" customHeight="1">
      <c r="A6" s="98"/>
      <c r="B6" s="101" t="s">
        <v>0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19" t="s">
        <v>1</v>
      </c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1"/>
      <c r="AB6" s="117" t="s">
        <v>2</v>
      </c>
      <c r="AC6" s="117"/>
      <c r="AD6" s="117"/>
      <c r="AE6" s="117"/>
      <c r="AF6" s="117"/>
      <c r="AG6" s="35"/>
      <c r="AH6" s="35"/>
      <c r="AI6" s="35"/>
      <c r="AJ6" s="35"/>
      <c r="AK6" s="35"/>
      <c r="AL6" s="65" t="s">
        <v>3</v>
      </c>
      <c r="AM6" s="73" t="s">
        <v>6</v>
      </c>
      <c r="AN6" s="73"/>
      <c r="AO6" s="73"/>
      <c r="AP6" s="73"/>
      <c r="AQ6" s="73"/>
      <c r="AR6" s="73"/>
      <c r="AS6" s="73"/>
      <c r="AT6" s="73"/>
      <c r="AU6" s="73"/>
      <c r="AV6" s="103" t="s">
        <v>4</v>
      </c>
      <c r="AW6" s="104"/>
      <c r="AX6" s="104"/>
      <c r="AY6" s="104"/>
      <c r="AZ6" s="104"/>
      <c r="BA6" s="104"/>
      <c r="BB6" s="105"/>
      <c r="BC6" s="74" t="s">
        <v>5</v>
      </c>
      <c r="BD6" s="74"/>
      <c r="BE6" s="74"/>
      <c r="BF6" s="74"/>
      <c r="BG6" s="74"/>
      <c r="BH6" s="74"/>
      <c r="BI6" s="74"/>
      <c r="BJ6" s="74"/>
      <c r="BK6" s="114" t="s">
        <v>58</v>
      </c>
      <c r="BL6" s="115"/>
      <c r="BM6" s="115"/>
      <c r="BN6" s="115"/>
      <c r="BO6" s="115"/>
      <c r="BP6" s="116"/>
      <c r="BQ6" s="106" t="s">
        <v>51</v>
      </c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1"/>
      <c r="CJ6" s="11"/>
    </row>
    <row r="7" spans="1:88" ht="24.75" customHeight="1">
      <c r="A7" s="99"/>
      <c r="B7" s="102" t="s">
        <v>7</v>
      </c>
      <c r="C7" s="69" t="s">
        <v>8</v>
      </c>
      <c r="D7" s="124" t="s">
        <v>9</v>
      </c>
      <c r="E7" s="124"/>
      <c r="F7" s="124"/>
      <c r="G7" s="124"/>
      <c r="H7" s="124"/>
      <c r="I7" s="124"/>
      <c r="J7" s="69" t="s">
        <v>82</v>
      </c>
      <c r="K7" s="69" t="s">
        <v>43</v>
      </c>
      <c r="L7" s="86" t="s">
        <v>42</v>
      </c>
      <c r="M7" s="123" t="s">
        <v>10</v>
      </c>
      <c r="N7" s="68" t="s">
        <v>9</v>
      </c>
      <c r="O7" s="68"/>
      <c r="P7" s="68"/>
      <c r="Q7" s="68"/>
      <c r="R7" s="83" t="s">
        <v>78</v>
      </c>
      <c r="S7" s="82" t="s">
        <v>9</v>
      </c>
      <c r="T7" s="82"/>
      <c r="U7" s="82"/>
      <c r="V7" s="82"/>
      <c r="W7" s="80" t="s">
        <v>46</v>
      </c>
      <c r="X7" s="81" t="s">
        <v>9</v>
      </c>
      <c r="Y7" s="81"/>
      <c r="Z7" s="81"/>
      <c r="AA7" s="81"/>
      <c r="AB7" s="86" t="s">
        <v>11</v>
      </c>
      <c r="AC7" s="68" t="s">
        <v>9</v>
      </c>
      <c r="AD7" s="68"/>
      <c r="AE7" s="68"/>
      <c r="AF7" s="68"/>
      <c r="AG7" s="86" t="s">
        <v>53</v>
      </c>
      <c r="AH7" s="68" t="s">
        <v>9</v>
      </c>
      <c r="AI7" s="68"/>
      <c r="AJ7" s="68"/>
      <c r="AK7" s="68"/>
      <c r="AL7" s="66"/>
      <c r="AM7" s="77" t="s">
        <v>14</v>
      </c>
      <c r="AN7" s="77"/>
      <c r="AO7" s="77"/>
      <c r="AP7" s="77" t="s">
        <v>15</v>
      </c>
      <c r="AQ7" s="77"/>
      <c r="AR7" s="77"/>
      <c r="AS7" s="87" t="s">
        <v>16</v>
      </c>
      <c r="AT7" s="77" t="s">
        <v>17</v>
      </c>
      <c r="AU7" s="87" t="s">
        <v>18</v>
      </c>
      <c r="AV7" s="86" t="s">
        <v>81</v>
      </c>
      <c r="AW7" s="68" t="s">
        <v>9</v>
      </c>
      <c r="AX7" s="68"/>
      <c r="AY7" s="68"/>
      <c r="AZ7" s="68"/>
      <c r="BA7" s="68"/>
      <c r="BB7" s="68"/>
      <c r="BC7" s="76" t="s">
        <v>12</v>
      </c>
      <c r="BD7" s="72" t="s">
        <v>9</v>
      </c>
      <c r="BE7" s="72"/>
      <c r="BF7" s="72"/>
      <c r="BG7" s="70" t="s">
        <v>13</v>
      </c>
      <c r="BH7" s="72" t="s">
        <v>9</v>
      </c>
      <c r="BI7" s="72"/>
      <c r="BJ7" s="72"/>
      <c r="BK7" s="111" t="s">
        <v>59</v>
      </c>
      <c r="BL7" s="112"/>
      <c r="BM7" s="112"/>
      <c r="BN7" s="112"/>
      <c r="BO7" s="112"/>
      <c r="BP7" s="113"/>
      <c r="BQ7" s="95" t="s">
        <v>49</v>
      </c>
      <c r="BR7" s="108" t="s">
        <v>39</v>
      </c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10"/>
      <c r="CG7" s="95" t="s">
        <v>50</v>
      </c>
      <c r="CH7" s="12" t="s">
        <v>39</v>
      </c>
    </row>
    <row r="8" spans="1:88" ht="15" customHeight="1">
      <c r="A8" s="99"/>
      <c r="B8" s="102"/>
      <c r="C8" s="69"/>
      <c r="D8" s="66" t="s">
        <v>19</v>
      </c>
      <c r="E8" s="126" t="s">
        <v>39</v>
      </c>
      <c r="F8" s="127"/>
      <c r="G8" s="66" t="s">
        <v>20</v>
      </c>
      <c r="H8" s="39" t="s">
        <v>9</v>
      </c>
      <c r="I8" s="69" t="s">
        <v>48</v>
      </c>
      <c r="J8" s="69"/>
      <c r="K8" s="69"/>
      <c r="L8" s="69"/>
      <c r="M8" s="102"/>
      <c r="N8" s="69" t="s">
        <v>21</v>
      </c>
      <c r="O8" s="69" t="s">
        <v>22</v>
      </c>
      <c r="P8" s="69" t="s">
        <v>23</v>
      </c>
      <c r="Q8" s="84" t="s">
        <v>24</v>
      </c>
      <c r="R8" s="83"/>
      <c r="S8" s="83" t="s">
        <v>21</v>
      </c>
      <c r="T8" s="83" t="s">
        <v>25</v>
      </c>
      <c r="U8" s="83" t="s">
        <v>26</v>
      </c>
      <c r="V8" s="83" t="s">
        <v>80</v>
      </c>
      <c r="W8" s="79"/>
      <c r="X8" s="79" t="s">
        <v>21</v>
      </c>
      <c r="Y8" s="79" t="s">
        <v>25</v>
      </c>
      <c r="Z8" s="79" t="s">
        <v>26</v>
      </c>
      <c r="AA8" s="79" t="s">
        <v>24</v>
      </c>
      <c r="AB8" s="69"/>
      <c r="AC8" s="69" t="s">
        <v>21</v>
      </c>
      <c r="AD8" s="69" t="s">
        <v>25</v>
      </c>
      <c r="AE8" s="69" t="s">
        <v>27</v>
      </c>
      <c r="AF8" s="69" t="s">
        <v>79</v>
      </c>
      <c r="AG8" s="69"/>
      <c r="AH8" s="69" t="s">
        <v>21</v>
      </c>
      <c r="AI8" s="69" t="s">
        <v>25</v>
      </c>
      <c r="AJ8" s="69" t="s">
        <v>27</v>
      </c>
      <c r="AK8" s="69" t="s">
        <v>24</v>
      </c>
      <c r="AL8" s="66"/>
      <c r="AM8" s="67" t="s">
        <v>29</v>
      </c>
      <c r="AN8" s="67" t="s">
        <v>30</v>
      </c>
      <c r="AO8" s="67" t="s">
        <v>31</v>
      </c>
      <c r="AP8" s="67" t="s">
        <v>29</v>
      </c>
      <c r="AQ8" s="67" t="s">
        <v>30</v>
      </c>
      <c r="AR8" s="67" t="s">
        <v>31</v>
      </c>
      <c r="AS8" s="88"/>
      <c r="AT8" s="77"/>
      <c r="AU8" s="88"/>
      <c r="AV8" s="69"/>
      <c r="AW8" s="69" t="s">
        <v>21</v>
      </c>
      <c r="AX8" s="10" t="s">
        <v>28</v>
      </c>
      <c r="AY8" s="69" t="s">
        <v>25</v>
      </c>
      <c r="AZ8" s="10" t="s">
        <v>28</v>
      </c>
      <c r="BA8" s="69" t="s">
        <v>24</v>
      </c>
      <c r="BB8" s="10" t="s">
        <v>28</v>
      </c>
      <c r="BC8" s="76"/>
      <c r="BD8" s="75" t="s">
        <v>68</v>
      </c>
      <c r="BE8" s="75" t="s">
        <v>67</v>
      </c>
      <c r="BF8" s="75" t="s">
        <v>54</v>
      </c>
      <c r="BG8" s="70"/>
      <c r="BH8" s="75" t="s">
        <v>68</v>
      </c>
      <c r="BI8" s="75" t="s">
        <v>67</v>
      </c>
      <c r="BJ8" s="75" t="s">
        <v>54</v>
      </c>
      <c r="BK8" s="90" t="s">
        <v>64</v>
      </c>
      <c r="BL8" s="90" t="s">
        <v>60</v>
      </c>
      <c r="BM8" s="42" t="s">
        <v>62</v>
      </c>
      <c r="BN8" s="90" t="s">
        <v>61</v>
      </c>
      <c r="BO8" s="33" t="s">
        <v>62</v>
      </c>
      <c r="BP8" s="90" t="s">
        <v>65</v>
      </c>
      <c r="BQ8" s="96"/>
      <c r="BR8" s="77" t="s">
        <v>55</v>
      </c>
      <c r="BS8" s="77" t="s">
        <v>56</v>
      </c>
      <c r="BT8" s="77" t="s">
        <v>57</v>
      </c>
      <c r="BU8" s="67" t="s">
        <v>44</v>
      </c>
      <c r="BV8" s="92" t="s">
        <v>39</v>
      </c>
      <c r="BW8" s="93"/>
      <c r="BX8" s="94"/>
      <c r="BY8" s="67" t="s">
        <v>45</v>
      </c>
      <c r="BZ8" s="92" t="s">
        <v>39</v>
      </c>
      <c r="CA8" s="93"/>
      <c r="CB8" s="94"/>
      <c r="CC8" s="67" t="s">
        <v>47</v>
      </c>
      <c r="CD8" s="92" t="s">
        <v>39</v>
      </c>
      <c r="CE8" s="93"/>
      <c r="CF8" s="94"/>
      <c r="CG8" s="96"/>
      <c r="CH8" s="67" t="s">
        <v>47</v>
      </c>
    </row>
    <row r="9" spans="1:88" ht="290.25" customHeight="1">
      <c r="A9" s="100"/>
      <c r="B9" s="102"/>
      <c r="C9" s="69"/>
      <c r="D9" s="66"/>
      <c r="E9" s="39" t="s">
        <v>40</v>
      </c>
      <c r="F9" s="39" t="s">
        <v>41</v>
      </c>
      <c r="G9" s="66"/>
      <c r="H9" s="39" t="s">
        <v>32</v>
      </c>
      <c r="I9" s="69"/>
      <c r="J9" s="69"/>
      <c r="K9" s="69"/>
      <c r="L9" s="69"/>
      <c r="M9" s="102"/>
      <c r="N9" s="69"/>
      <c r="O9" s="69"/>
      <c r="P9" s="69"/>
      <c r="Q9" s="85"/>
      <c r="R9" s="83"/>
      <c r="S9" s="83"/>
      <c r="T9" s="83"/>
      <c r="U9" s="83"/>
      <c r="V9" s="83"/>
      <c r="W9" s="79"/>
      <c r="X9" s="79"/>
      <c r="Y9" s="79"/>
      <c r="Z9" s="79"/>
      <c r="AA9" s="7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6"/>
      <c r="AM9" s="67"/>
      <c r="AN9" s="67"/>
      <c r="AO9" s="67"/>
      <c r="AP9" s="67"/>
      <c r="AQ9" s="67"/>
      <c r="AR9" s="67"/>
      <c r="AS9" s="89"/>
      <c r="AT9" s="77"/>
      <c r="AU9" s="89"/>
      <c r="AV9" s="69"/>
      <c r="AW9" s="69"/>
      <c r="AX9" s="32" t="s">
        <v>33</v>
      </c>
      <c r="AY9" s="69"/>
      <c r="AZ9" s="32" t="s">
        <v>33</v>
      </c>
      <c r="BA9" s="69"/>
      <c r="BB9" s="32" t="s">
        <v>33</v>
      </c>
      <c r="BC9" s="76"/>
      <c r="BD9" s="75"/>
      <c r="BE9" s="75"/>
      <c r="BF9" s="75"/>
      <c r="BG9" s="71"/>
      <c r="BH9" s="75"/>
      <c r="BI9" s="75"/>
      <c r="BJ9" s="75"/>
      <c r="BK9" s="91"/>
      <c r="BL9" s="91"/>
      <c r="BM9" s="43" t="s">
        <v>63</v>
      </c>
      <c r="BN9" s="91"/>
      <c r="BO9" s="34" t="s">
        <v>63</v>
      </c>
      <c r="BP9" s="91"/>
      <c r="BQ9" s="97"/>
      <c r="BR9" s="77"/>
      <c r="BS9" s="77"/>
      <c r="BT9" s="77"/>
      <c r="BU9" s="67"/>
      <c r="BV9" s="31" t="s">
        <v>55</v>
      </c>
      <c r="BW9" s="31" t="s">
        <v>56</v>
      </c>
      <c r="BX9" s="31" t="s">
        <v>57</v>
      </c>
      <c r="BY9" s="67"/>
      <c r="BZ9" s="31" t="s">
        <v>55</v>
      </c>
      <c r="CA9" s="31" t="s">
        <v>56</v>
      </c>
      <c r="CB9" s="31" t="s">
        <v>57</v>
      </c>
      <c r="CC9" s="67"/>
      <c r="CD9" s="31" t="s">
        <v>55</v>
      </c>
      <c r="CE9" s="31" t="s">
        <v>56</v>
      </c>
      <c r="CF9" s="31" t="s">
        <v>57</v>
      </c>
      <c r="CG9" s="97"/>
      <c r="CH9" s="67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7" t="s">
        <v>34</v>
      </c>
      <c r="B11" s="26">
        <f>C11+J11+K11+L11</f>
        <v>371134.25481999997</v>
      </c>
      <c r="C11" s="26">
        <f>D11+G11+I11</f>
        <v>195821.03307</v>
      </c>
      <c r="D11" s="26">
        <f t="shared" ref="D11:CC11" si="3">D12+D13</f>
        <v>76635.231159999996</v>
      </c>
      <c r="E11" s="26">
        <f t="shared" si="3"/>
        <v>60157.564490000004</v>
      </c>
      <c r="F11" s="26">
        <f t="shared" si="3"/>
        <v>12067.747780000002</v>
      </c>
      <c r="G11" s="26">
        <f>SUM(G12:G13)</f>
        <v>19807.353909999994</v>
      </c>
      <c r="H11" s="26">
        <f t="shared" si="3"/>
        <v>10043.409570000002</v>
      </c>
      <c r="I11" s="26">
        <f>I12</f>
        <v>99378.448000000004</v>
      </c>
      <c r="J11" s="26">
        <f>J12-240+618.86032</f>
        <v>174347.87300999998</v>
      </c>
      <c r="K11" s="26">
        <f t="shared" si="3"/>
        <v>965.34874000000013</v>
      </c>
      <c r="L11" s="26">
        <f t="shared" si="3"/>
        <v>0</v>
      </c>
      <c r="M11" s="21">
        <f>N11+O11+P11+Q11</f>
        <v>367058.78182000003</v>
      </c>
      <c r="N11" s="21">
        <f>S11+X11+AC11</f>
        <v>169684.72830000002</v>
      </c>
      <c r="O11" s="21">
        <f>T11+Y11+AD11</f>
        <v>57812.516910000006</v>
      </c>
      <c r="P11" s="21">
        <f>U11+Z11+AE11</f>
        <v>37696.669430000002</v>
      </c>
      <c r="Q11" s="21">
        <f>V11+AA11+AF11</f>
        <v>101864.86717999999</v>
      </c>
      <c r="R11" s="57">
        <f>S11+T11+U11+V11</f>
        <v>184632.01593000002</v>
      </c>
      <c r="S11" s="57">
        <f t="shared" ref="S11:AE11" si="4">S12+S13</f>
        <v>77658.082410000003</v>
      </c>
      <c r="T11" s="57">
        <f t="shared" si="4"/>
        <v>23292.570710000004</v>
      </c>
      <c r="U11" s="57">
        <f t="shared" si="4"/>
        <v>37689.393909999999</v>
      </c>
      <c r="V11" s="57">
        <f>V12+V13-10728.936</f>
        <v>45991.9689</v>
      </c>
      <c r="W11" s="56">
        <f t="shared" si="4"/>
        <v>10322.12895</v>
      </c>
      <c r="X11" s="56">
        <f t="shared" si="4"/>
        <v>196.96257</v>
      </c>
      <c r="Y11" s="56">
        <f>Y12+Z21</f>
        <v>66.463089999999994</v>
      </c>
      <c r="Z11" s="56">
        <f t="shared" si="4"/>
        <v>0</v>
      </c>
      <c r="AA11" s="56">
        <f t="shared" si="4"/>
        <v>10058.703290000001</v>
      </c>
      <c r="AB11" s="21">
        <f>AC11+AD11+AE11+AF11</f>
        <v>172104.63694</v>
      </c>
      <c r="AC11" s="26">
        <f t="shared" si="4"/>
        <v>91829.683319999996</v>
      </c>
      <c r="AD11" s="26">
        <f t="shared" si="4"/>
        <v>34453.483110000001</v>
      </c>
      <c r="AE11" s="26">
        <f t="shared" si="4"/>
        <v>7.2755200000000002</v>
      </c>
      <c r="AF11" s="26">
        <f>AF12+AF13-10078.11289</f>
        <v>45814.194989999989</v>
      </c>
      <c r="AG11" s="21">
        <f t="shared" ref="AG11:AL11" si="5">AG12+AG13</f>
        <v>0</v>
      </c>
      <c r="AH11" s="26">
        <f t="shared" si="5"/>
        <v>0</v>
      </c>
      <c r="AI11" s="26">
        <f t="shared" si="5"/>
        <v>0</v>
      </c>
      <c r="AJ11" s="26">
        <f t="shared" si="5"/>
        <v>0</v>
      </c>
      <c r="AK11" s="26">
        <f t="shared" si="5"/>
        <v>0</v>
      </c>
      <c r="AL11" s="26">
        <f t="shared" si="5"/>
        <v>4075.4505000000063</v>
      </c>
      <c r="AM11" s="21">
        <f>AN11-AO11</f>
        <v>0</v>
      </c>
      <c r="AN11" s="21">
        <f t="shared" si="3"/>
        <v>0</v>
      </c>
      <c r="AO11" s="21">
        <f t="shared" si="3"/>
        <v>0</v>
      </c>
      <c r="AP11" s="21">
        <f>AQ11-AR11</f>
        <v>-3000</v>
      </c>
      <c r="AQ11" s="21">
        <f t="shared" si="3"/>
        <v>0</v>
      </c>
      <c r="AR11" s="21">
        <f t="shared" si="3"/>
        <v>3000</v>
      </c>
      <c r="AS11" s="21">
        <f t="shared" si="3"/>
        <v>0</v>
      </c>
      <c r="AT11" s="21">
        <f t="shared" si="3"/>
        <v>0</v>
      </c>
      <c r="AU11" s="21">
        <f t="shared" si="3"/>
        <v>-1075.4505000000063</v>
      </c>
      <c r="AV11" s="21">
        <f t="shared" si="3"/>
        <v>37238.552150000003</v>
      </c>
      <c r="AW11" s="21">
        <f t="shared" si="3"/>
        <v>27551.727720000003</v>
      </c>
      <c r="AX11" s="21">
        <f t="shared" si="3"/>
        <v>1443.32186</v>
      </c>
      <c r="AY11" s="21">
        <f t="shared" si="3"/>
        <v>8043.8402500000002</v>
      </c>
      <c r="AZ11" s="21">
        <f t="shared" si="3"/>
        <v>433.15262000000001</v>
      </c>
      <c r="BA11" s="21">
        <f t="shared" si="3"/>
        <v>1642.9841799999995</v>
      </c>
      <c r="BB11" s="21">
        <f t="shared" si="3"/>
        <v>5063.6503900000007</v>
      </c>
      <c r="BC11" s="21">
        <f>BD11+BE11+BF11</f>
        <v>7635.9723600000007</v>
      </c>
      <c r="BD11" s="21">
        <f>BD12+BD13</f>
        <v>4453.8759100000007</v>
      </c>
      <c r="BE11" s="21">
        <f>BE12+BE13</f>
        <v>0</v>
      </c>
      <c r="BF11" s="21">
        <f>BF12+BF13</f>
        <v>3182.09645</v>
      </c>
      <c r="BG11" s="21">
        <f>BH11+BI11+BJ11</f>
        <v>8711.4227699999992</v>
      </c>
      <c r="BH11" s="21">
        <f t="shared" si="3"/>
        <v>6367.2852899999998</v>
      </c>
      <c r="BI11" s="21">
        <f t="shared" si="3"/>
        <v>288.04048</v>
      </c>
      <c r="BJ11" s="21">
        <f t="shared" si="3"/>
        <v>2056.0970000000002</v>
      </c>
      <c r="BK11" s="21">
        <f t="shared" si="3"/>
        <v>0</v>
      </c>
      <c r="BL11" s="21">
        <f t="shared" si="3"/>
        <v>16563.976780000001</v>
      </c>
      <c r="BM11" s="21">
        <f t="shared" si="3"/>
        <v>4496.2290000000003</v>
      </c>
      <c r="BN11" s="21">
        <f t="shared" si="3"/>
        <v>13991.34735</v>
      </c>
      <c r="BO11" s="21">
        <f t="shared" si="3"/>
        <v>4496.2290000000003</v>
      </c>
      <c r="BP11" s="21">
        <f t="shared" si="3"/>
        <v>2572.62943</v>
      </c>
      <c r="BQ11" s="21">
        <f t="shared" si="3"/>
        <v>7388.2523400000009</v>
      </c>
      <c r="BR11" s="21">
        <f t="shared" si="3"/>
        <v>7388.2523400000009</v>
      </c>
      <c r="BS11" s="21">
        <f t="shared" si="3"/>
        <v>0</v>
      </c>
      <c r="BT11" s="21">
        <f t="shared" si="3"/>
        <v>0</v>
      </c>
      <c r="BU11" s="21">
        <f t="shared" si="3"/>
        <v>0</v>
      </c>
      <c r="BV11" s="21">
        <f t="shared" si="3"/>
        <v>0</v>
      </c>
      <c r="BW11" s="21">
        <f t="shared" si="3"/>
        <v>0</v>
      </c>
      <c r="BX11" s="21">
        <f t="shared" si="3"/>
        <v>0</v>
      </c>
      <c r="BY11" s="21">
        <f t="shared" si="3"/>
        <v>0</v>
      </c>
      <c r="BZ11" s="21">
        <f t="shared" si="3"/>
        <v>0</v>
      </c>
      <c r="CA11" s="21">
        <f t="shared" si="3"/>
        <v>0</v>
      </c>
      <c r="CB11" s="21">
        <f t="shared" si="3"/>
        <v>0</v>
      </c>
      <c r="CC11" s="21">
        <f t="shared" si="3"/>
        <v>0</v>
      </c>
      <c r="CD11" s="21">
        <f>CD12+CD13</f>
        <v>0</v>
      </c>
      <c r="CE11" s="21">
        <v>0</v>
      </c>
      <c r="CF11" s="21">
        <v>0</v>
      </c>
      <c r="CG11" s="21">
        <v>0</v>
      </c>
      <c r="CH11" s="21">
        <v>0</v>
      </c>
    </row>
    <row r="12" spans="1:88">
      <c r="A12" s="18" t="s">
        <v>35</v>
      </c>
      <c r="B12" s="26">
        <f>C12+J12+K12+L12</f>
        <v>344801.18978999997</v>
      </c>
      <c r="C12" s="26">
        <f>D12+G12+I12</f>
        <v>170832.1771</v>
      </c>
      <c r="D12" s="26">
        <v>55696.40034</v>
      </c>
      <c r="E12" s="26">
        <v>53224.632740000001</v>
      </c>
      <c r="F12" s="26">
        <v>0</v>
      </c>
      <c r="G12" s="50">
        <f>71453.7291-D12</f>
        <v>15757.328759999997</v>
      </c>
      <c r="H12" s="26">
        <v>9574.0551200000009</v>
      </c>
      <c r="I12" s="26">
        <v>99378.448000000004</v>
      </c>
      <c r="J12" s="26">
        <f>273347.46069-K12-L12-I12</f>
        <v>173969.01268999997</v>
      </c>
      <c r="K12" s="26">
        <v>0</v>
      </c>
      <c r="L12" s="26">
        <v>0</v>
      </c>
      <c r="M12" s="21">
        <f>N12+O12+P12+Q12</f>
        <v>340463.55436999997</v>
      </c>
      <c r="N12" s="21">
        <f>S12+X12+AC12</f>
        <v>156853.00409999999</v>
      </c>
      <c r="O12" s="21">
        <f>T12+Y12+AD12</f>
        <v>54003.353040000002</v>
      </c>
      <c r="P12" s="21">
        <f>U12+Z12+AE12</f>
        <v>32298.76035</v>
      </c>
      <c r="Q12" s="26">
        <f>V12+AA12+AF12+AK12</f>
        <v>97308.436879999994</v>
      </c>
      <c r="R12" s="57">
        <v>158367.58132</v>
      </c>
      <c r="S12" s="57">
        <f>51648.88038+7585.43819+6162.96584</f>
        <v>65397.28441</v>
      </c>
      <c r="T12" s="57">
        <f>14795.66278+2228.75162+2619.27083</f>
        <v>19643.685230000003</v>
      </c>
      <c r="U12" s="57">
        <f>27638.65182+4660.10853</f>
        <v>32298.76035</v>
      </c>
      <c r="V12" s="57">
        <f>R12-U12-T12-S12</f>
        <v>41027.851329999998</v>
      </c>
      <c r="W12" s="56">
        <v>10322.12895</v>
      </c>
      <c r="X12" s="56">
        <v>196.96257</v>
      </c>
      <c r="Y12" s="56">
        <v>66.463089999999994</v>
      </c>
      <c r="Z12" s="56">
        <v>0</v>
      </c>
      <c r="AA12" s="56">
        <f>W12-Z12-Y12-X12</f>
        <v>10058.703290000001</v>
      </c>
      <c r="AB12" s="26">
        <v>171773.84409999999</v>
      </c>
      <c r="AC12" s="26">
        <v>91258.757119999995</v>
      </c>
      <c r="AD12" s="26">
        <v>34293.204720000002</v>
      </c>
      <c r="AE12" s="26">
        <v>0</v>
      </c>
      <c r="AF12" s="26">
        <f>AB12-AC12-AD12</f>
        <v>46221.882259999991</v>
      </c>
      <c r="AG12" s="21">
        <f>AH12+AI12+AJ12+AK12</f>
        <v>0</v>
      </c>
      <c r="AH12" s="26">
        <v>0</v>
      </c>
      <c r="AI12" s="26">
        <v>0</v>
      </c>
      <c r="AJ12" s="26">
        <v>0</v>
      </c>
      <c r="AK12" s="26">
        <v>0</v>
      </c>
      <c r="AL12" s="21">
        <f>B12-M12</f>
        <v>4337.635420000006</v>
      </c>
      <c r="AM12" s="21">
        <f t="shared" ref="AM12:AM13" si="6">AN12-AO12</f>
        <v>0</v>
      </c>
      <c r="AN12" s="21">
        <v>0</v>
      </c>
      <c r="AO12" s="21">
        <v>0</v>
      </c>
      <c r="AP12" s="21">
        <f>AQ12-AR12</f>
        <v>-3000</v>
      </c>
      <c r="AQ12" s="21">
        <v>0</v>
      </c>
      <c r="AR12" s="21">
        <v>3000</v>
      </c>
      <c r="AS12" s="21">
        <v>0</v>
      </c>
      <c r="AT12" s="21">
        <v>0</v>
      </c>
      <c r="AU12" s="21">
        <f>-AL12-AM12-AP12</f>
        <v>-1337.635420000006</v>
      </c>
      <c r="AV12" s="21">
        <v>23460.48935</v>
      </c>
      <c r="AW12" s="21">
        <v>17591.558400000002</v>
      </c>
      <c r="AX12" s="21">
        <v>872.39566000000002</v>
      </c>
      <c r="AY12" s="21">
        <v>5136.2723699999997</v>
      </c>
      <c r="AZ12" s="21">
        <v>272.87423000000001</v>
      </c>
      <c r="BA12" s="21">
        <f>AV12-AW12-AY12</f>
        <v>732.65857999999844</v>
      </c>
      <c r="BB12" s="21">
        <f>1252.24489-AZ12-AX12</f>
        <v>106.97499999999991</v>
      </c>
      <c r="BC12" s="21">
        <f t="shared" ref="BC12:BC13" si="7">BD12+BE12+BF12</f>
        <v>595.6241500000001</v>
      </c>
      <c r="BD12" s="21">
        <f>595.62415-BE12-BF12</f>
        <v>-2586.4722999999999</v>
      </c>
      <c r="BE12" s="21">
        <v>0</v>
      </c>
      <c r="BF12" s="21">
        <v>3182.09645</v>
      </c>
      <c r="BG12" s="21">
        <f t="shared" ref="BG12:BG13" si="8">BH12+BI12+BJ12</f>
        <v>1933.2595699999999</v>
      </c>
      <c r="BH12" s="21">
        <f>1933.25957-BI12-BJ12</f>
        <v>-122.83743000000027</v>
      </c>
      <c r="BI12" s="21">
        <v>0</v>
      </c>
      <c r="BJ12" s="21">
        <v>2056.0970000000002</v>
      </c>
      <c r="BK12" s="21">
        <v>0</v>
      </c>
      <c r="BL12" s="21">
        <f>F12</f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f>BR12+BS12</f>
        <v>6678.8491000000004</v>
      </c>
      <c r="BR12" s="21">
        <v>6678.8491000000004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f>CD12</f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</row>
    <row r="13" spans="1:88">
      <c r="A13" s="17" t="s">
        <v>36</v>
      </c>
      <c r="B13" s="26">
        <f t="shared" ref="B13:AL13" si="9">SUM(B15:B25)</f>
        <v>47140.091419999997</v>
      </c>
      <c r="C13" s="129">
        <f t="shared" si="9"/>
        <v>35477.791969999998</v>
      </c>
      <c r="D13" s="26">
        <f t="shared" si="9"/>
        <v>20938.830820000003</v>
      </c>
      <c r="E13" s="26">
        <f t="shared" si="9"/>
        <v>6932.9317499999997</v>
      </c>
      <c r="F13" s="26">
        <f t="shared" si="9"/>
        <v>12067.747780000002</v>
      </c>
      <c r="G13" s="26">
        <f t="shared" si="9"/>
        <v>4050.025149999999</v>
      </c>
      <c r="H13" s="26">
        <f t="shared" si="9"/>
        <v>469.35444999999999</v>
      </c>
      <c r="I13" s="26">
        <f t="shared" si="9"/>
        <v>10488.936</v>
      </c>
      <c r="J13" s="26">
        <f t="shared" si="9"/>
        <v>10696.950710000001</v>
      </c>
      <c r="K13" s="26">
        <f t="shared" si="9"/>
        <v>965.34874000000013</v>
      </c>
      <c r="L13" s="26">
        <f t="shared" si="9"/>
        <v>0</v>
      </c>
      <c r="M13" s="21">
        <f t="shared" si="9"/>
        <v>47402.276340000004</v>
      </c>
      <c r="N13" s="21">
        <f t="shared" si="9"/>
        <v>12831.724200000001</v>
      </c>
      <c r="O13" s="21">
        <f t="shared" si="9"/>
        <v>3809.1638699999999</v>
      </c>
      <c r="P13" s="21">
        <f t="shared" si="9"/>
        <v>5397.9090800000004</v>
      </c>
      <c r="Q13" s="21">
        <f t="shared" si="9"/>
        <v>25363.479189999998</v>
      </c>
      <c r="R13" s="58">
        <f t="shared" si="9"/>
        <v>36993.370609999998</v>
      </c>
      <c r="S13" s="58">
        <f t="shared" si="9"/>
        <v>12260.798000000003</v>
      </c>
      <c r="T13" s="58">
        <f t="shared" si="9"/>
        <v>3648.8854799999999</v>
      </c>
      <c r="U13" s="58">
        <f t="shared" si="9"/>
        <v>5390.6335600000002</v>
      </c>
      <c r="V13" s="58">
        <f t="shared" si="9"/>
        <v>15693.053570000004</v>
      </c>
      <c r="W13" s="56">
        <f t="shared" si="9"/>
        <v>0</v>
      </c>
      <c r="X13" s="56">
        <f t="shared" si="9"/>
        <v>0</v>
      </c>
      <c r="Y13" s="56">
        <f t="shared" si="9"/>
        <v>0</v>
      </c>
      <c r="Z13" s="56">
        <f t="shared" si="9"/>
        <v>0</v>
      </c>
      <c r="AA13" s="56">
        <f t="shared" si="9"/>
        <v>0</v>
      </c>
      <c r="AB13" s="21">
        <f t="shared" si="9"/>
        <v>10408.90573</v>
      </c>
      <c r="AC13" s="26">
        <f t="shared" si="9"/>
        <v>570.92619999999999</v>
      </c>
      <c r="AD13" s="26">
        <f t="shared" si="9"/>
        <v>160.27839</v>
      </c>
      <c r="AE13" s="26">
        <f t="shared" si="9"/>
        <v>7.2755200000000002</v>
      </c>
      <c r="AF13" s="26">
        <f t="shared" si="9"/>
        <v>9670.42562</v>
      </c>
      <c r="AG13" s="26">
        <f t="shared" si="9"/>
        <v>0</v>
      </c>
      <c r="AH13" s="26">
        <f t="shared" si="9"/>
        <v>0</v>
      </c>
      <c r="AI13" s="26">
        <f t="shared" si="9"/>
        <v>0</v>
      </c>
      <c r="AJ13" s="26">
        <f t="shared" si="9"/>
        <v>0</v>
      </c>
      <c r="AK13" s="26">
        <f t="shared" si="9"/>
        <v>0</v>
      </c>
      <c r="AL13" s="26">
        <f t="shared" si="9"/>
        <v>-262.18491999999969</v>
      </c>
      <c r="AM13" s="21">
        <f t="shared" si="6"/>
        <v>0</v>
      </c>
      <c r="AN13" s="21">
        <f>SUM(AN15:AN25)</f>
        <v>0</v>
      </c>
      <c r="AO13" s="21">
        <f>SUM(AO15:AO25)</f>
        <v>0</v>
      </c>
      <c r="AP13" s="21">
        <f>AQ13-AR13</f>
        <v>0</v>
      </c>
      <c r="AQ13" s="21">
        <f t="shared" ref="AQ13:BB13" si="10">SUM(AQ15:AQ25)</f>
        <v>0</v>
      </c>
      <c r="AR13" s="21">
        <f t="shared" si="10"/>
        <v>0</v>
      </c>
      <c r="AS13" s="21">
        <f t="shared" si="10"/>
        <v>0</v>
      </c>
      <c r="AT13" s="21">
        <f t="shared" si="10"/>
        <v>0</v>
      </c>
      <c r="AU13" s="21">
        <f t="shared" si="10"/>
        <v>262.18491999999969</v>
      </c>
      <c r="AV13" s="21">
        <f t="shared" si="10"/>
        <v>13778.062800000002</v>
      </c>
      <c r="AW13" s="21">
        <f t="shared" si="10"/>
        <v>9960.1693199999991</v>
      </c>
      <c r="AX13" s="21">
        <f t="shared" si="10"/>
        <v>570.92619999999999</v>
      </c>
      <c r="AY13" s="21">
        <f t="shared" si="10"/>
        <v>2907.5678800000005</v>
      </c>
      <c r="AZ13" s="21">
        <f t="shared" si="10"/>
        <v>160.27839</v>
      </c>
      <c r="BA13" s="21">
        <f t="shared" si="10"/>
        <v>910.32560000000092</v>
      </c>
      <c r="BB13" s="21">
        <f t="shared" si="10"/>
        <v>4956.6753900000003</v>
      </c>
      <c r="BC13" s="21">
        <f t="shared" si="7"/>
        <v>7040.3482100000001</v>
      </c>
      <c r="BD13" s="21">
        <f>SUM(BD15:BD25)</f>
        <v>7040.3482100000001</v>
      </c>
      <c r="BE13" s="21">
        <f>SUM(BE15:BE25)</f>
        <v>0</v>
      </c>
      <c r="BF13" s="21">
        <f>SUM(BF15:BF25)</f>
        <v>0</v>
      </c>
      <c r="BG13" s="21">
        <f t="shared" si="8"/>
        <v>6778.1632</v>
      </c>
      <c r="BH13" s="21">
        <f t="shared" ref="BH13:CH13" si="11">SUM(BH15:BH25)</f>
        <v>6490.1227200000003</v>
      </c>
      <c r="BI13" s="21">
        <f t="shared" si="11"/>
        <v>288.04048</v>
      </c>
      <c r="BJ13" s="21">
        <f t="shared" si="11"/>
        <v>0</v>
      </c>
      <c r="BK13" s="21">
        <f t="shared" si="11"/>
        <v>0</v>
      </c>
      <c r="BL13" s="21">
        <f t="shared" si="11"/>
        <v>16563.976780000001</v>
      </c>
      <c r="BM13" s="21">
        <f t="shared" si="11"/>
        <v>4496.2290000000003</v>
      </c>
      <c r="BN13" s="21">
        <f t="shared" si="11"/>
        <v>13991.34735</v>
      </c>
      <c r="BO13" s="21">
        <f t="shared" si="11"/>
        <v>4496.2290000000003</v>
      </c>
      <c r="BP13" s="21">
        <f t="shared" si="11"/>
        <v>2572.62943</v>
      </c>
      <c r="BQ13" s="21">
        <f t="shared" si="11"/>
        <v>709.4032400000001</v>
      </c>
      <c r="BR13" s="21">
        <f t="shared" si="11"/>
        <v>709.4032400000001</v>
      </c>
      <c r="BS13" s="21">
        <f t="shared" si="11"/>
        <v>0</v>
      </c>
      <c r="BT13" s="21">
        <f t="shared" si="11"/>
        <v>0</v>
      </c>
      <c r="BU13" s="21">
        <f t="shared" si="11"/>
        <v>0</v>
      </c>
      <c r="BV13" s="21">
        <f t="shared" si="11"/>
        <v>0</v>
      </c>
      <c r="BW13" s="21">
        <f t="shared" si="11"/>
        <v>0</v>
      </c>
      <c r="BX13" s="21">
        <f t="shared" si="11"/>
        <v>0</v>
      </c>
      <c r="BY13" s="21">
        <f t="shared" si="11"/>
        <v>0</v>
      </c>
      <c r="BZ13" s="21">
        <f t="shared" si="11"/>
        <v>0</v>
      </c>
      <c r="CA13" s="21">
        <f t="shared" si="11"/>
        <v>0</v>
      </c>
      <c r="CB13" s="21">
        <f t="shared" si="11"/>
        <v>0</v>
      </c>
      <c r="CC13" s="21">
        <f t="shared" si="11"/>
        <v>0</v>
      </c>
      <c r="CD13" s="21">
        <f t="shared" si="11"/>
        <v>0</v>
      </c>
      <c r="CE13" s="21">
        <f t="shared" si="11"/>
        <v>0</v>
      </c>
      <c r="CF13" s="21">
        <f t="shared" si="11"/>
        <v>0</v>
      </c>
      <c r="CG13" s="21">
        <f t="shared" si="11"/>
        <v>0</v>
      </c>
      <c r="CH13" s="21">
        <f t="shared" si="11"/>
        <v>0</v>
      </c>
    </row>
    <row r="14" spans="1:88" ht="12" customHeight="1" thickBot="1">
      <c r="A14" s="19" t="s">
        <v>37</v>
      </c>
      <c r="B14" s="26">
        <f>B12+B13-B11</f>
        <v>20807.026390000014</v>
      </c>
      <c r="C14" s="26"/>
      <c r="D14" s="26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58"/>
      <c r="S14" s="58"/>
      <c r="T14" s="58"/>
      <c r="U14" s="45"/>
      <c r="V14" s="58"/>
      <c r="W14" s="56"/>
      <c r="X14" s="56"/>
      <c r="Y14" s="56"/>
      <c r="Z14" s="56"/>
      <c r="AA14" s="5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44"/>
      <c r="AZ14" s="44"/>
      <c r="BA14" s="21"/>
      <c r="BB14" s="21"/>
      <c r="BC14" s="21"/>
      <c r="BD14" s="21"/>
      <c r="BE14" s="21"/>
      <c r="BF14" s="21"/>
      <c r="BG14" s="21"/>
      <c r="BH14" s="44"/>
      <c r="BI14" s="44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</row>
    <row r="15" spans="1:88" ht="15.75">
      <c r="A15" s="20" t="s">
        <v>77</v>
      </c>
      <c r="B15" s="26">
        <f>C15+J15+K15+L15</f>
        <v>2610.6789500000004</v>
      </c>
      <c r="C15" s="26">
        <f t="shared" ref="C15:C21" si="12">D15+G15+I15</f>
        <v>2276.2139500000003</v>
      </c>
      <c r="D15" s="50">
        <v>832.28715</v>
      </c>
      <c r="E15" s="50">
        <v>117.58404</v>
      </c>
      <c r="F15" s="26">
        <v>679.31032000000005</v>
      </c>
      <c r="G15" s="50">
        <v>192.92679999999999</v>
      </c>
      <c r="H15" s="26">
        <v>0</v>
      </c>
      <c r="I15" s="51">
        <v>1251</v>
      </c>
      <c r="J15" s="26">
        <f>1585.465-K15-L15-I15</f>
        <v>319.46499999999992</v>
      </c>
      <c r="K15" s="26">
        <v>15</v>
      </c>
      <c r="L15" s="26">
        <v>0</v>
      </c>
      <c r="M15" s="26">
        <f t="shared" ref="M15:M21" si="13">N15+O15+P15+Q15</f>
        <v>2953.6912299999995</v>
      </c>
      <c r="N15" s="26">
        <f t="shared" ref="N15:P20" si="14">S15+X15+AC15</f>
        <v>1417.8068000000001</v>
      </c>
      <c r="O15" s="26">
        <f t="shared" si="14"/>
        <v>399.85487999999998</v>
      </c>
      <c r="P15" s="26">
        <f t="shared" si="14"/>
        <v>138.93096</v>
      </c>
      <c r="Q15" s="26">
        <f t="shared" ref="Q15:Q21" si="15">V15+AA15+AF15+AK15</f>
        <v>997.0985899999996</v>
      </c>
      <c r="R15" s="58">
        <v>2634.26728</v>
      </c>
      <c r="S15" s="60">
        <v>1326.1108300000001</v>
      </c>
      <c r="T15" s="61">
        <v>373.1669</v>
      </c>
      <c r="U15" s="62">
        <v>138.93096</v>
      </c>
      <c r="V15" s="58">
        <f>R15-U15-T15-S15</f>
        <v>796.05858999999964</v>
      </c>
      <c r="W15" s="56">
        <f t="shared" ref="W15:W21" si="16">X15+Y15+Z15+AA15</f>
        <v>0</v>
      </c>
      <c r="X15" s="56">
        <v>0</v>
      </c>
      <c r="Y15" s="56">
        <v>0</v>
      </c>
      <c r="Z15" s="56">
        <v>0</v>
      </c>
      <c r="AA15" s="56">
        <v>0</v>
      </c>
      <c r="AB15" s="26">
        <v>319.42394999999999</v>
      </c>
      <c r="AC15" s="55">
        <v>91.695970000000003</v>
      </c>
      <c r="AD15" s="54">
        <v>26.68798</v>
      </c>
      <c r="AE15" s="26">
        <v>0</v>
      </c>
      <c r="AF15" s="26">
        <f>AB15-AC15-AD15-AE15</f>
        <v>201.04</v>
      </c>
      <c r="AG15" s="26">
        <f t="shared" ref="AG15:AG21" si="17">AH15+AI15+AJ15+AK15</f>
        <v>0</v>
      </c>
      <c r="AH15" s="26">
        <v>0</v>
      </c>
      <c r="AI15" s="26">
        <v>0</v>
      </c>
      <c r="AJ15" s="26">
        <v>0</v>
      </c>
      <c r="AK15" s="26">
        <v>0</v>
      </c>
      <c r="AL15" s="21">
        <f t="shared" ref="AL15:AL20" si="18">B15-M15</f>
        <v>-343.01227999999901</v>
      </c>
      <c r="AM15" s="26">
        <f t="shared" ref="AM15:AM22" si="19">AN15-AO15</f>
        <v>0</v>
      </c>
      <c r="AN15" s="21">
        <v>0</v>
      </c>
      <c r="AO15" s="21">
        <v>0</v>
      </c>
      <c r="AP15" s="21">
        <f t="shared" ref="AP15:AP20" si="20">AQ15-AR15</f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f t="shared" ref="AU15:AU20" si="21">-AL15</f>
        <v>343.01227999999901</v>
      </c>
      <c r="AV15" s="21">
        <v>1843.24701</v>
      </c>
      <c r="AW15" s="46">
        <v>1417.8068000000001</v>
      </c>
      <c r="AX15" s="47">
        <v>91.695970000000003</v>
      </c>
      <c r="AY15" s="48">
        <v>399.85487999999998</v>
      </c>
      <c r="AZ15" s="49">
        <v>26.68798</v>
      </c>
      <c r="BA15" s="21">
        <f>AV15-AY15-AW15</f>
        <v>25.585330000000113</v>
      </c>
      <c r="BB15" s="21">
        <f>878.76772-AZ15-AX15</f>
        <v>760.38377000000003</v>
      </c>
      <c r="BC15" s="21">
        <f t="shared" ref="BC15:BC22" si="22">BD15+BE15+BF15</f>
        <v>880.67926999999997</v>
      </c>
      <c r="BD15" s="21">
        <f>880.67927-BE15-BF15</f>
        <v>880.67926999999997</v>
      </c>
      <c r="BE15" s="21">
        <v>0</v>
      </c>
      <c r="BF15" s="21">
        <v>0</v>
      </c>
      <c r="BG15" s="26">
        <f>BH15+BI15+BJ15</f>
        <v>537.66690000000006</v>
      </c>
      <c r="BH15" s="21">
        <f>537.6669-BI15</f>
        <v>537.62585000000001</v>
      </c>
      <c r="BI15" s="21">
        <v>4.1050000000000003E-2</v>
      </c>
      <c r="BJ15" s="21">
        <v>0</v>
      </c>
      <c r="BK15" s="26">
        <v>0</v>
      </c>
      <c r="BL15" s="21">
        <f t="shared" ref="BL15:BL20" si="23">F15+BM15</f>
        <v>679.31032000000005</v>
      </c>
      <c r="BM15" s="21">
        <f>BO15</f>
        <v>0</v>
      </c>
      <c r="BN15" s="21">
        <v>294.64875000000001</v>
      </c>
      <c r="BO15" s="21">
        <v>0</v>
      </c>
      <c r="BP15" s="21">
        <f t="shared" ref="BP15:BP20" si="24">BL15-BN15</f>
        <v>384.66157000000004</v>
      </c>
      <c r="BQ15" s="21">
        <f t="shared" ref="BQ15:BQ20" si="25">BR15+BS15</f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f t="shared" ref="CC15:CC22" si="26">CD15</f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</row>
    <row r="16" spans="1:88" ht="15.75">
      <c r="A16" s="20" t="s">
        <v>76</v>
      </c>
      <c r="B16" s="26">
        <f>C16+J16+K16+L16</f>
        <v>5615.1990399999995</v>
      </c>
      <c r="C16" s="26">
        <f t="shared" si="12"/>
        <v>3382.2540399999998</v>
      </c>
      <c r="D16" s="52">
        <v>2213.02486</v>
      </c>
      <c r="E16" s="50">
        <v>1085.4560200000001</v>
      </c>
      <c r="F16" s="26">
        <v>1088.89447</v>
      </c>
      <c r="G16" s="50">
        <f>2448.05404-D16</f>
        <v>235.02918</v>
      </c>
      <c r="H16" s="26">
        <v>0</v>
      </c>
      <c r="I16" s="53">
        <v>934.2</v>
      </c>
      <c r="J16" s="26">
        <f>3167.145-K16-L16-I16</f>
        <v>2182.9449999999997</v>
      </c>
      <c r="K16" s="26">
        <v>50</v>
      </c>
      <c r="L16" s="26">
        <v>0</v>
      </c>
      <c r="M16" s="26">
        <f t="shared" si="13"/>
        <v>5592.8612700000003</v>
      </c>
      <c r="N16" s="26">
        <f t="shared" si="14"/>
        <v>863.23253999999997</v>
      </c>
      <c r="O16" s="26">
        <f t="shared" si="14"/>
        <v>252.91041000000001</v>
      </c>
      <c r="P16" s="26">
        <f t="shared" si="14"/>
        <v>170.73397</v>
      </c>
      <c r="Q16" s="26">
        <f t="shared" si="15"/>
        <v>4305.9843500000006</v>
      </c>
      <c r="R16" s="58">
        <v>3437.0693200000001</v>
      </c>
      <c r="S16" s="60">
        <v>782.31101999999998</v>
      </c>
      <c r="T16" s="61">
        <v>229.00998000000001</v>
      </c>
      <c r="U16" s="62">
        <v>170.73397</v>
      </c>
      <c r="V16" s="58">
        <f t="shared" ref="V16:V22" si="27">R16-U16-T16-S16</f>
        <v>2255.0143500000004</v>
      </c>
      <c r="W16" s="56">
        <f t="shared" si="16"/>
        <v>0</v>
      </c>
      <c r="X16" s="56">
        <v>0</v>
      </c>
      <c r="Y16" s="56">
        <v>0</v>
      </c>
      <c r="Z16" s="56">
        <v>0</v>
      </c>
      <c r="AA16" s="56">
        <v>0</v>
      </c>
      <c r="AB16" s="26">
        <v>2155.7919499999998</v>
      </c>
      <c r="AC16" s="55">
        <v>80.921520000000001</v>
      </c>
      <c r="AD16" s="54">
        <v>23.90043</v>
      </c>
      <c r="AE16" s="26">
        <v>0</v>
      </c>
      <c r="AF16" s="26">
        <f t="shared" ref="AF16:AF22" si="28">AB16-AC16-AD16-AE16</f>
        <v>2050.9699999999998</v>
      </c>
      <c r="AG16" s="26">
        <f t="shared" si="17"/>
        <v>0</v>
      </c>
      <c r="AH16" s="26">
        <v>0</v>
      </c>
      <c r="AI16" s="26">
        <v>0</v>
      </c>
      <c r="AJ16" s="26">
        <v>0</v>
      </c>
      <c r="AK16" s="26">
        <v>0</v>
      </c>
      <c r="AL16" s="21">
        <f t="shared" si="18"/>
        <v>22.337769999999182</v>
      </c>
      <c r="AM16" s="26">
        <f t="shared" si="19"/>
        <v>0</v>
      </c>
      <c r="AN16" s="21">
        <v>0</v>
      </c>
      <c r="AO16" s="21">
        <v>0</v>
      </c>
      <c r="AP16" s="21">
        <f t="shared" si="20"/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f t="shared" si="21"/>
        <v>-22.337769999999182</v>
      </c>
      <c r="AV16" s="21">
        <v>1246.3115</v>
      </c>
      <c r="AW16" s="46">
        <v>863.23253999999997</v>
      </c>
      <c r="AX16" s="47">
        <v>80.921520000000001</v>
      </c>
      <c r="AY16" s="48">
        <v>252.91041000000001</v>
      </c>
      <c r="AZ16" s="49">
        <v>23.90043</v>
      </c>
      <c r="BA16" s="21">
        <f>AV16-AY16-AW16</f>
        <v>130.1685500000001</v>
      </c>
      <c r="BB16" s="21">
        <f>883.75982-AZ16-AX16</f>
        <v>778.93786999999998</v>
      </c>
      <c r="BC16" s="21">
        <f t="shared" si="22"/>
        <v>2096.174</v>
      </c>
      <c r="BD16" s="21">
        <f>2096.174-BE16-BF16</f>
        <v>2096.174</v>
      </c>
      <c r="BE16" s="21">
        <v>0</v>
      </c>
      <c r="BF16" s="21">
        <v>0</v>
      </c>
      <c r="BG16" s="26">
        <f>BH16+BI16+BJ16</f>
        <v>2118.5117700000001</v>
      </c>
      <c r="BH16" s="21">
        <f>2118.51177-BI16</f>
        <v>2091.3587200000002</v>
      </c>
      <c r="BI16" s="21">
        <f>13.60305+13.55</f>
        <v>27.15305</v>
      </c>
      <c r="BJ16" s="21">
        <v>0</v>
      </c>
      <c r="BK16" s="26">
        <v>0</v>
      </c>
      <c r="BL16" s="21">
        <f t="shared" si="23"/>
        <v>3088.8944700000002</v>
      </c>
      <c r="BM16" s="21">
        <f>BO16</f>
        <v>2000</v>
      </c>
      <c r="BN16" s="21">
        <v>3643.9777100000001</v>
      </c>
      <c r="BO16" s="21">
        <v>2000</v>
      </c>
      <c r="BP16" s="21">
        <f t="shared" si="24"/>
        <v>-555.08323999999993</v>
      </c>
      <c r="BQ16" s="21">
        <f t="shared" si="25"/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f t="shared" si="26"/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</row>
    <row r="17" spans="1:86" ht="15.75">
      <c r="A17" s="20" t="s">
        <v>75</v>
      </c>
      <c r="B17" s="26">
        <f>C17+J17+K17+L17</f>
        <v>2788.9814100000003</v>
      </c>
      <c r="C17" s="26">
        <f t="shared" si="12"/>
        <v>2591.1564100000001</v>
      </c>
      <c r="D17" s="26">
        <v>874.85640999999998</v>
      </c>
      <c r="E17" s="50">
        <v>31.113</v>
      </c>
      <c r="F17" s="26">
        <v>464.52836000000002</v>
      </c>
      <c r="G17" s="50">
        <v>0</v>
      </c>
      <c r="H17" s="26">
        <v>0</v>
      </c>
      <c r="I17" s="53">
        <v>1716.3</v>
      </c>
      <c r="J17" s="26">
        <f>1914.125-K17-L17-I17</f>
        <v>197.82500000000005</v>
      </c>
      <c r="K17" s="26">
        <v>0</v>
      </c>
      <c r="L17" s="26">
        <v>0</v>
      </c>
      <c r="M17" s="26">
        <f t="shared" si="13"/>
        <v>2565.0157999999997</v>
      </c>
      <c r="N17" s="26">
        <f t="shared" si="14"/>
        <v>1045.3749700000001</v>
      </c>
      <c r="O17" s="26">
        <f t="shared" si="14"/>
        <v>288.46217999999999</v>
      </c>
      <c r="P17" s="26">
        <f t="shared" si="14"/>
        <v>298.76488999999998</v>
      </c>
      <c r="Q17" s="26">
        <f t="shared" si="15"/>
        <v>932.4137599999998</v>
      </c>
      <c r="R17" s="58">
        <v>2385.1607399999998</v>
      </c>
      <c r="S17" s="60">
        <v>958.83545000000004</v>
      </c>
      <c r="T17" s="61">
        <v>263.74664000000001</v>
      </c>
      <c r="U17" s="62">
        <v>298.76488999999998</v>
      </c>
      <c r="V17" s="58">
        <f t="shared" si="27"/>
        <v>863.81375999999977</v>
      </c>
      <c r="W17" s="56">
        <f t="shared" si="16"/>
        <v>0</v>
      </c>
      <c r="X17" s="56">
        <v>0</v>
      </c>
      <c r="Y17" s="56">
        <v>0</v>
      </c>
      <c r="Z17" s="56">
        <v>0</v>
      </c>
      <c r="AA17" s="56">
        <v>0</v>
      </c>
      <c r="AB17" s="26">
        <v>179.85506000000001</v>
      </c>
      <c r="AC17" s="55">
        <v>86.539519999999996</v>
      </c>
      <c r="AD17" s="54">
        <v>24.715540000000001</v>
      </c>
      <c r="AE17" s="26">
        <v>0</v>
      </c>
      <c r="AF17" s="26">
        <f t="shared" si="28"/>
        <v>68.600000000000009</v>
      </c>
      <c r="AG17" s="26">
        <f t="shared" si="17"/>
        <v>0</v>
      </c>
      <c r="AH17" s="26">
        <v>0</v>
      </c>
      <c r="AI17" s="26">
        <v>0</v>
      </c>
      <c r="AJ17" s="26">
        <v>0</v>
      </c>
      <c r="AK17" s="26">
        <v>0</v>
      </c>
      <c r="AL17" s="21">
        <f t="shared" si="18"/>
        <v>223.96561000000065</v>
      </c>
      <c r="AM17" s="26">
        <f t="shared" si="19"/>
        <v>0</v>
      </c>
      <c r="AN17" s="21">
        <v>0</v>
      </c>
      <c r="AO17" s="21">
        <v>0</v>
      </c>
      <c r="AP17" s="21">
        <f t="shared" si="20"/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f t="shared" si="21"/>
        <v>-223.96561000000065</v>
      </c>
      <c r="AV17" s="21">
        <v>1464.5285899999999</v>
      </c>
      <c r="AW17" s="46">
        <v>1045.3749700000001</v>
      </c>
      <c r="AX17" s="47">
        <v>86.539519999999996</v>
      </c>
      <c r="AY17" s="48">
        <v>288.46217999999999</v>
      </c>
      <c r="AZ17" s="49">
        <v>24.715540000000001</v>
      </c>
      <c r="BA17" s="21">
        <f t="shared" ref="BA17:BA22" si="29">AV17-AY17-AW17</f>
        <v>130.69143999999983</v>
      </c>
      <c r="BB17" s="21">
        <f>1286.63715-AZ17-AX17</f>
        <v>1175.3820900000001</v>
      </c>
      <c r="BC17" s="21">
        <f t="shared" si="22"/>
        <v>1181.1924899999999</v>
      </c>
      <c r="BD17" s="21">
        <f>1181.19249-BE17-BF17</f>
        <v>1181.1924899999999</v>
      </c>
      <c r="BE17" s="21">
        <v>0</v>
      </c>
      <c r="BF17" s="21">
        <v>0</v>
      </c>
      <c r="BG17" s="26">
        <f>BH17+BI17+BJ17</f>
        <v>1405.1581000000001</v>
      </c>
      <c r="BH17" s="21">
        <f>1405.1581-BI17</f>
        <v>1387.1881600000002</v>
      </c>
      <c r="BI17" s="21">
        <f>10.8+7.16994</f>
        <v>17.969940000000001</v>
      </c>
      <c r="BJ17" s="21">
        <v>0</v>
      </c>
      <c r="BK17" s="26">
        <v>0</v>
      </c>
      <c r="BL17" s="21">
        <f t="shared" si="23"/>
        <v>464.52836000000002</v>
      </c>
      <c r="BM17" s="21">
        <f>BO17</f>
        <v>0</v>
      </c>
      <c r="BN17" s="21">
        <v>395.07776000000001</v>
      </c>
      <c r="BO17" s="21">
        <v>0</v>
      </c>
      <c r="BP17" s="21">
        <f t="shared" si="24"/>
        <v>69.450600000000009</v>
      </c>
      <c r="BQ17" s="21">
        <f t="shared" si="25"/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f t="shared" si="26"/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</row>
    <row r="18" spans="1:86" ht="15.75">
      <c r="A18" s="20" t="s">
        <v>74</v>
      </c>
      <c r="B18" s="26">
        <f>C18+J18+K18+L18</f>
        <v>3590.0488700000001</v>
      </c>
      <c r="C18" s="26">
        <f t="shared" si="12"/>
        <v>3440.3908700000002</v>
      </c>
      <c r="D18" s="50">
        <v>1782.9562900000001</v>
      </c>
      <c r="E18" s="50">
        <v>125.32675999999999</v>
      </c>
      <c r="F18" s="26">
        <v>1585.88986</v>
      </c>
      <c r="G18" s="50">
        <f>1993.69087-D18</f>
        <v>210.73457999999982</v>
      </c>
      <c r="H18" s="26">
        <v>10.80358</v>
      </c>
      <c r="I18" s="53">
        <f>1046.7+400</f>
        <v>1446.7</v>
      </c>
      <c r="J18" s="26">
        <f>1596.358-K18-L18-I18</f>
        <v>149.6579999999999</v>
      </c>
      <c r="K18" s="26">
        <v>0</v>
      </c>
      <c r="L18" s="26">
        <v>0</v>
      </c>
      <c r="M18" s="26">
        <f t="shared" si="13"/>
        <v>3597.7780499999999</v>
      </c>
      <c r="N18" s="26">
        <f t="shared" si="14"/>
        <v>957.55817999999999</v>
      </c>
      <c r="O18" s="26">
        <f t="shared" si="14"/>
        <v>285.80749999999995</v>
      </c>
      <c r="P18" s="26">
        <f t="shared" si="14"/>
        <v>408.54277999999999</v>
      </c>
      <c r="Q18" s="26">
        <f t="shared" si="15"/>
        <v>1945.86959</v>
      </c>
      <c r="R18" s="58">
        <v>3458.49235</v>
      </c>
      <c r="S18" s="60">
        <v>873.87252000000001</v>
      </c>
      <c r="T18" s="61">
        <v>261.44045999999997</v>
      </c>
      <c r="U18" s="62">
        <v>408.54277999999999</v>
      </c>
      <c r="V18" s="58">
        <f t="shared" si="27"/>
        <v>1914.6365900000001</v>
      </c>
      <c r="W18" s="56">
        <f t="shared" si="16"/>
        <v>0</v>
      </c>
      <c r="X18" s="56">
        <v>0</v>
      </c>
      <c r="Y18" s="56">
        <v>0</v>
      </c>
      <c r="Z18" s="56">
        <v>0</v>
      </c>
      <c r="AA18" s="56">
        <v>0</v>
      </c>
      <c r="AB18" s="26">
        <v>139.28569999999999</v>
      </c>
      <c r="AC18" s="55">
        <v>83.685659999999999</v>
      </c>
      <c r="AD18" s="54">
        <v>24.367039999999999</v>
      </c>
      <c r="AE18" s="26">
        <v>0</v>
      </c>
      <c r="AF18" s="26">
        <f t="shared" si="28"/>
        <v>31.232999999999993</v>
      </c>
      <c r="AG18" s="26">
        <f t="shared" si="17"/>
        <v>0</v>
      </c>
      <c r="AH18" s="26">
        <v>0</v>
      </c>
      <c r="AI18" s="26">
        <v>0</v>
      </c>
      <c r="AJ18" s="26">
        <v>0</v>
      </c>
      <c r="AK18" s="26">
        <v>0</v>
      </c>
      <c r="AL18" s="21">
        <f t="shared" si="18"/>
        <v>-7.7291799999998148</v>
      </c>
      <c r="AM18" s="26">
        <f t="shared" si="19"/>
        <v>0</v>
      </c>
      <c r="AN18" s="21">
        <v>0</v>
      </c>
      <c r="AO18" s="21">
        <v>0</v>
      </c>
      <c r="AP18" s="21">
        <f t="shared" si="20"/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f t="shared" si="21"/>
        <v>7.7291799999998148</v>
      </c>
      <c r="AV18" s="21">
        <v>1394.10646</v>
      </c>
      <c r="AW18" s="46">
        <v>957.55817999999999</v>
      </c>
      <c r="AX18" s="47">
        <v>83.685659999999999</v>
      </c>
      <c r="AY18" s="48">
        <v>285.8075</v>
      </c>
      <c r="AZ18" s="49">
        <v>24.367039999999999</v>
      </c>
      <c r="BA18" s="21">
        <f t="shared" si="29"/>
        <v>150.74078000000009</v>
      </c>
      <c r="BB18" s="21">
        <f>578.0527-AZ18-AX18</f>
        <v>470</v>
      </c>
      <c r="BC18" s="21">
        <f t="shared" si="22"/>
        <v>40.140410000000003</v>
      </c>
      <c r="BD18" s="21">
        <f>40.14041-BE18-BF18</f>
        <v>40.140410000000003</v>
      </c>
      <c r="BE18" s="21">
        <v>0</v>
      </c>
      <c r="BF18" s="21">
        <v>0</v>
      </c>
      <c r="BG18" s="26">
        <f>BH18+BI18+BJ18</f>
        <v>32.411230000000003</v>
      </c>
      <c r="BH18" s="21">
        <f>32.41123-BI18</f>
        <v>22.038930000000004</v>
      </c>
      <c r="BI18" s="21">
        <v>10.372299999999999</v>
      </c>
      <c r="BJ18" s="21">
        <v>0</v>
      </c>
      <c r="BK18" s="26">
        <v>0</v>
      </c>
      <c r="BL18" s="21">
        <f t="shared" si="23"/>
        <v>1585.88986</v>
      </c>
      <c r="BM18" s="21">
        <f>BO18</f>
        <v>0</v>
      </c>
      <c r="BN18" s="21">
        <v>1694.25198</v>
      </c>
      <c r="BO18" s="21">
        <v>0</v>
      </c>
      <c r="BP18" s="21">
        <f t="shared" si="24"/>
        <v>-108.36212</v>
      </c>
      <c r="BQ18" s="21">
        <f t="shared" si="25"/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f t="shared" si="26"/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</row>
    <row r="19" spans="1:86" ht="15.75">
      <c r="A19" s="20" t="s">
        <v>73</v>
      </c>
      <c r="B19" s="26">
        <f>C19+J19+K19+L19</f>
        <v>5334.4060500000005</v>
      </c>
      <c r="C19" s="26">
        <f t="shared" si="12"/>
        <v>2846.9078199999999</v>
      </c>
      <c r="D19" s="52">
        <v>1382.87291</v>
      </c>
      <c r="E19" s="50">
        <v>52.968089999999997</v>
      </c>
      <c r="F19" s="26">
        <v>764.22411</v>
      </c>
      <c r="G19" s="50">
        <f>1694.90782-D19</f>
        <v>312.03490999999985</v>
      </c>
      <c r="H19" s="26">
        <v>189.714</v>
      </c>
      <c r="I19" s="53">
        <v>1152</v>
      </c>
      <c r="J19" s="26">
        <f>3639.49823-K19-L19-I19</f>
        <v>2417.9582300000002</v>
      </c>
      <c r="K19" s="26">
        <v>69.540000000000006</v>
      </c>
      <c r="L19" s="26">
        <v>0</v>
      </c>
      <c r="M19" s="26">
        <f t="shared" si="13"/>
        <v>6284.3230899999999</v>
      </c>
      <c r="N19" s="26">
        <f t="shared" si="14"/>
        <v>1015.7433900000001</v>
      </c>
      <c r="O19" s="26">
        <f t="shared" si="14"/>
        <v>283.30613</v>
      </c>
      <c r="P19" s="26">
        <f t="shared" si="14"/>
        <v>737.46398999999997</v>
      </c>
      <c r="Q19" s="26">
        <f t="shared" si="15"/>
        <v>4247.8095800000001</v>
      </c>
      <c r="R19" s="59">
        <v>3940.0468999999998</v>
      </c>
      <c r="S19" s="60">
        <v>981.37859000000003</v>
      </c>
      <c r="T19" s="61">
        <v>272.92797000000002</v>
      </c>
      <c r="U19" s="62">
        <v>737.46398999999997</v>
      </c>
      <c r="V19" s="58">
        <f t="shared" si="27"/>
        <v>1948.2763499999999</v>
      </c>
      <c r="W19" s="56">
        <f t="shared" si="16"/>
        <v>0</v>
      </c>
      <c r="X19" s="56">
        <v>0</v>
      </c>
      <c r="Y19" s="56">
        <v>0</v>
      </c>
      <c r="Z19" s="56">
        <v>0</v>
      </c>
      <c r="AA19" s="56">
        <v>0</v>
      </c>
      <c r="AB19" s="26">
        <v>2344.27619</v>
      </c>
      <c r="AC19" s="55">
        <v>34.364800000000002</v>
      </c>
      <c r="AD19" s="54">
        <v>10.378159999999999</v>
      </c>
      <c r="AE19" s="26">
        <v>0</v>
      </c>
      <c r="AF19" s="26">
        <f t="shared" si="28"/>
        <v>2299.53323</v>
      </c>
      <c r="AG19" s="26">
        <f t="shared" si="17"/>
        <v>0</v>
      </c>
      <c r="AH19" s="26">
        <v>0</v>
      </c>
      <c r="AI19" s="26">
        <v>0</v>
      </c>
      <c r="AJ19" s="26">
        <v>0</v>
      </c>
      <c r="AK19" s="26">
        <v>0</v>
      </c>
      <c r="AL19" s="21">
        <f t="shared" si="18"/>
        <v>-949.91703999999936</v>
      </c>
      <c r="AM19" s="21">
        <f t="shared" si="19"/>
        <v>0</v>
      </c>
      <c r="AN19" s="21">
        <v>0</v>
      </c>
      <c r="AO19" s="21">
        <v>0</v>
      </c>
      <c r="AP19" s="21">
        <f t="shared" si="20"/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f t="shared" si="21"/>
        <v>949.91703999999936</v>
      </c>
      <c r="AV19" s="21">
        <v>1472.75946</v>
      </c>
      <c r="AW19" s="46">
        <v>1015.74339</v>
      </c>
      <c r="AX19" s="47">
        <v>34.364800000000002</v>
      </c>
      <c r="AY19" s="48">
        <v>283.30613</v>
      </c>
      <c r="AZ19" s="49">
        <v>10.378159999999999</v>
      </c>
      <c r="BA19" s="21">
        <f t="shared" si="29"/>
        <v>173.70994000000007</v>
      </c>
      <c r="BB19" s="21">
        <f>905.25823-AZ19-AX19</f>
        <v>860.5152700000001</v>
      </c>
      <c r="BC19" s="21">
        <f t="shared" si="22"/>
        <v>1633.52001</v>
      </c>
      <c r="BD19" s="21">
        <f>1633.52001-BE19-BF19</f>
        <v>1633.52001</v>
      </c>
      <c r="BE19" s="21">
        <v>0</v>
      </c>
      <c r="BF19" s="21">
        <v>0</v>
      </c>
      <c r="BG19" s="21">
        <f t="shared" ref="BG19" si="30">BH19+BI19+BJ19</f>
        <v>683.60297000000003</v>
      </c>
      <c r="BH19" s="21">
        <f>683.60297-BI19</f>
        <v>609.92093</v>
      </c>
      <c r="BI19" s="21">
        <v>73.682040000000001</v>
      </c>
      <c r="BJ19" s="21">
        <v>0</v>
      </c>
      <c r="BK19" s="21">
        <v>0</v>
      </c>
      <c r="BL19" s="21">
        <f t="shared" si="23"/>
        <v>2764.2241100000001</v>
      </c>
      <c r="BM19" s="21">
        <f>BO19</f>
        <v>2000</v>
      </c>
      <c r="BN19" s="21">
        <v>3306.04727</v>
      </c>
      <c r="BO19" s="21">
        <v>2000</v>
      </c>
      <c r="BP19" s="21">
        <f t="shared" si="24"/>
        <v>-541.82315999999992</v>
      </c>
      <c r="BQ19" s="21">
        <f t="shared" si="25"/>
        <v>0</v>
      </c>
      <c r="BR19" s="21">
        <v>0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f t="shared" si="26"/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</row>
    <row r="20" spans="1:86" ht="17.45" customHeight="1">
      <c r="A20" s="20" t="s">
        <v>72</v>
      </c>
      <c r="B20" s="26">
        <f t="shared" ref="B20" si="31">C20+J20+K20+L20</f>
        <v>3526.9042499999996</v>
      </c>
      <c r="C20" s="26">
        <f t="shared" si="12"/>
        <v>3348.8562499999998</v>
      </c>
      <c r="D20" s="50">
        <v>1744.60582</v>
      </c>
      <c r="E20" s="50">
        <v>161.90584000000001</v>
      </c>
      <c r="F20" s="26">
        <v>1505.97099</v>
      </c>
      <c r="G20" s="50">
        <f>1989.25625-D20</f>
        <v>244.65042999999991</v>
      </c>
      <c r="H20" s="26">
        <v>124.73014999999999</v>
      </c>
      <c r="I20" s="53">
        <v>1359.6</v>
      </c>
      <c r="J20" s="26">
        <f>1537.648-K20-L20-I20</f>
        <v>161.88699999999994</v>
      </c>
      <c r="K20" s="26">
        <v>16.161000000000001</v>
      </c>
      <c r="L20" s="26">
        <v>0</v>
      </c>
      <c r="M20" s="26">
        <f t="shared" si="13"/>
        <v>3418.8782100000008</v>
      </c>
      <c r="N20" s="26">
        <f t="shared" si="14"/>
        <v>1216.9288000000001</v>
      </c>
      <c r="O20" s="26">
        <f t="shared" si="14"/>
        <v>354.21800000000002</v>
      </c>
      <c r="P20" s="26">
        <f t="shared" si="14"/>
        <v>241.79139000000001</v>
      </c>
      <c r="Q20" s="26">
        <f t="shared" si="15"/>
        <v>1605.9400200000002</v>
      </c>
      <c r="R20" s="58">
        <v>3260.8319900000001</v>
      </c>
      <c r="S20" s="60">
        <v>1130.2813000000001</v>
      </c>
      <c r="T20" s="61">
        <v>331.03469000000001</v>
      </c>
      <c r="U20" s="62">
        <v>241.79139000000001</v>
      </c>
      <c r="V20" s="58">
        <f t="shared" si="27"/>
        <v>1557.7246100000002</v>
      </c>
      <c r="W20" s="56">
        <f t="shared" si="16"/>
        <v>0</v>
      </c>
      <c r="X20" s="56">
        <v>0</v>
      </c>
      <c r="Y20" s="56">
        <v>0</v>
      </c>
      <c r="Z20" s="56">
        <v>0</v>
      </c>
      <c r="AA20" s="56">
        <v>0</v>
      </c>
      <c r="AB20" s="26">
        <v>158.04622000000001</v>
      </c>
      <c r="AC20" s="55">
        <v>86.647499999999994</v>
      </c>
      <c r="AD20" s="54">
        <v>23.183309999999999</v>
      </c>
      <c r="AE20" s="26">
        <v>0</v>
      </c>
      <c r="AF20" s="26">
        <f t="shared" si="28"/>
        <v>48.215410000000013</v>
      </c>
      <c r="AG20" s="26">
        <f t="shared" si="17"/>
        <v>0</v>
      </c>
      <c r="AH20" s="26">
        <v>0</v>
      </c>
      <c r="AI20" s="26">
        <v>0</v>
      </c>
      <c r="AJ20" s="26">
        <v>0</v>
      </c>
      <c r="AK20" s="26">
        <v>0</v>
      </c>
      <c r="AL20" s="21">
        <f t="shared" si="18"/>
        <v>108.02603999999883</v>
      </c>
      <c r="AM20" s="21">
        <f t="shared" si="19"/>
        <v>0</v>
      </c>
      <c r="AN20" s="21">
        <v>0</v>
      </c>
      <c r="AO20" s="21">
        <v>0</v>
      </c>
      <c r="AP20" s="21">
        <f t="shared" si="20"/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f t="shared" si="21"/>
        <v>-108.02603999999883</v>
      </c>
      <c r="AV20" s="21">
        <v>1588.9370100000001</v>
      </c>
      <c r="AW20" s="46">
        <v>1216.9287999999999</v>
      </c>
      <c r="AX20" s="47">
        <v>86.647499999999994</v>
      </c>
      <c r="AY20" s="48">
        <v>354.21800000000002</v>
      </c>
      <c r="AZ20" s="49">
        <v>23.183309999999999</v>
      </c>
      <c r="BA20" s="21">
        <f t="shared" si="29"/>
        <v>17.790210000000116</v>
      </c>
      <c r="BB20" s="21">
        <f>627.31168-AZ20-AX20</f>
        <v>517.48086999999998</v>
      </c>
      <c r="BC20" s="21">
        <f t="shared" si="22"/>
        <v>152.29093</v>
      </c>
      <c r="BD20" s="21">
        <f>152.29093-BE20-BF20</f>
        <v>152.29093</v>
      </c>
      <c r="BE20" s="21">
        <v>0</v>
      </c>
      <c r="BF20" s="21">
        <v>0</v>
      </c>
      <c r="BG20" s="21">
        <f>BH20+BI20+BJ20</f>
        <v>260.31697000000003</v>
      </c>
      <c r="BH20" s="21">
        <f>260.31697-BI20</f>
        <v>256.50219000000004</v>
      </c>
      <c r="BI20" s="21">
        <v>3.8147799999999998</v>
      </c>
      <c r="BJ20" s="21">
        <v>0</v>
      </c>
      <c r="BK20" s="21">
        <v>0</v>
      </c>
      <c r="BL20" s="21">
        <f t="shared" si="23"/>
        <v>1505.97099</v>
      </c>
      <c r="BM20" s="21">
        <f t="shared" ref="BM20" si="32">BO20</f>
        <v>0</v>
      </c>
      <c r="BN20" s="21">
        <v>1071.8018500000001</v>
      </c>
      <c r="BO20" s="21">
        <v>0</v>
      </c>
      <c r="BP20" s="21">
        <f t="shared" si="24"/>
        <v>434.16913999999997</v>
      </c>
      <c r="BQ20" s="21">
        <f t="shared" si="25"/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f t="shared" si="26"/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</row>
    <row r="21" spans="1:86" ht="17.45" customHeight="1">
      <c r="A21" s="20" t="s">
        <v>71</v>
      </c>
      <c r="B21" s="26">
        <f>C21+J21+K21+L21</f>
        <v>9671.2128100000009</v>
      </c>
      <c r="C21" s="26">
        <f t="shared" si="12"/>
        <v>8228.6623099999997</v>
      </c>
      <c r="D21" s="50">
        <v>4544.9327400000002</v>
      </c>
      <c r="E21" s="50">
        <v>246.16926000000001</v>
      </c>
      <c r="F21" s="26">
        <v>3738.7041199999999</v>
      </c>
      <c r="G21" s="50">
        <f>6284.92631-D21</f>
        <v>1739.9935699999996</v>
      </c>
      <c r="H21" s="26">
        <v>126.73172</v>
      </c>
      <c r="I21" s="53">
        <v>1943.7360000000001</v>
      </c>
      <c r="J21" s="26">
        <f>3386.2865-K21-L21-I21</f>
        <v>911.52850000000012</v>
      </c>
      <c r="K21" s="26">
        <v>531.02200000000005</v>
      </c>
      <c r="L21" s="26">
        <v>0</v>
      </c>
      <c r="M21" s="26">
        <f t="shared" si="13"/>
        <v>8883.665140000001</v>
      </c>
      <c r="N21" s="26">
        <f t="shared" ref="N21" si="33">S21+X21+AC21</f>
        <v>2710.2316299999998</v>
      </c>
      <c r="O21" s="26">
        <f>T21+Y21+AD21</f>
        <v>883.90704000000005</v>
      </c>
      <c r="P21" s="26">
        <f>U21+Z21+AE21</f>
        <v>2584.32332</v>
      </c>
      <c r="Q21" s="26">
        <f t="shared" si="15"/>
        <v>2705.2031500000007</v>
      </c>
      <c r="R21" s="58">
        <v>8127.1234599999998</v>
      </c>
      <c r="S21" s="60">
        <f>1196.47834+1406.68206</f>
        <v>2603.1603999999998</v>
      </c>
      <c r="T21" s="61">
        <f>380.75336+476.10775</f>
        <v>856.86111000000005</v>
      </c>
      <c r="U21" s="62">
        <f>1564.07144+1012.97636</f>
        <v>2577.0477999999998</v>
      </c>
      <c r="V21" s="58">
        <f t="shared" si="27"/>
        <v>2090.0541500000008</v>
      </c>
      <c r="W21" s="56">
        <f t="shared" si="16"/>
        <v>0</v>
      </c>
      <c r="X21" s="56">
        <v>0</v>
      </c>
      <c r="Y21" s="56">
        <v>0</v>
      </c>
      <c r="Z21" s="56">
        <v>0</v>
      </c>
      <c r="AA21" s="56">
        <v>0</v>
      </c>
      <c r="AB21" s="26">
        <v>756.54168000000004</v>
      </c>
      <c r="AC21" s="55">
        <v>107.07123</v>
      </c>
      <c r="AD21" s="54">
        <v>27.045929999999998</v>
      </c>
      <c r="AE21" s="26">
        <v>7.2755200000000002</v>
      </c>
      <c r="AF21" s="26">
        <f t="shared" si="28"/>
        <v>615.149</v>
      </c>
      <c r="AG21" s="26">
        <f t="shared" si="17"/>
        <v>0</v>
      </c>
      <c r="AH21" s="26">
        <v>0</v>
      </c>
      <c r="AI21" s="26">
        <v>0</v>
      </c>
      <c r="AJ21" s="26">
        <v>0</v>
      </c>
      <c r="AK21" s="26">
        <v>0</v>
      </c>
      <c r="AL21" s="21">
        <f t="shared" ref="AL21" si="34">B21-M21</f>
        <v>787.54766999999993</v>
      </c>
      <c r="AM21" s="21">
        <f t="shared" si="19"/>
        <v>0</v>
      </c>
      <c r="AN21" s="21">
        <v>0</v>
      </c>
      <c r="AO21" s="21">
        <v>0</v>
      </c>
      <c r="AP21" s="21">
        <f t="shared" ref="AP21" si="35">AQ21-AR21</f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f t="shared" ref="AU21" si="36">-AL21</f>
        <v>-787.54766999999993</v>
      </c>
      <c r="AV21" s="21">
        <v>1948.9727600000001</v>
      </c>
      <c r="AW21" s="46">
        <v>1303.5495699999999</v>
      </c>
      <c r="AX21" s="47">
        <v>107.07123</v>
      </c>
      <c r="AY21" s="48">
        <v>407.79928999999998</v>
      </c>
      <c r="AZ21" s="49">
        <v>27.045929999999998</v>
      </c>
      <c r="BA21" s="21">
        <f t="shared" si="29"/>
        <v>237.62390000000028</v>
      </c>
      <c r="BB21" s="21">
        <f>381.89268-AZ21-AX21</f>
        <v>247.77551999999997</v>
      </c>
      <c r="BC21" s="21">
        <f t="shared" si="22"/>
        <v>216.96547000000001</v>
      </c>
      <c r="BD21" s="21">
        <v>216.96547000000001</v>
      </c>
      <c r="BE21" s="21">
        <v>0</v>
      </c>
      <c r="BF21" s="21">
        <v>0</v>
      </c>
      <c r="BG21" s="21">
        <f>BH21+BI21+BJ21</f>
        <v>1004.51314</v>
      </c>
      <c r="BH21" s="21">
        <f>1004.51314-BI21</f>
        <v>849.50582000000009</v>
      </c>
      <c r="BI21" s="21">
        <v>155.00731999999999</v>
      </c>
      <c r="BJ21" s="21">
        <v>0</v>
      </c>
      <c r="BK21" s="21">
        <v>0</v>
      </c>
      <c r="BL21" s="21">
        <f t="shared" ref="BL21" si="37">F21+BM21</f>
        <v>4234.9331199999997</v>
      </c>
      <c r="BM21" s="21">
        <f>BO21</f>
        <v>496.22899999999998</v>
      </c>
      <c r="BN21" s="21">
        <v>2299.63832</v>
      </c>
      <c r="BO21" s="21">
        <v>496.22899999999998</v>
      </c>
      <c r="BP21" s="21">
        <f t="shared" ref="BP21" si="38">BL21-BN21</f>
        <v>1935.2947999999997</v>
      </c>
      <c r="BQ21" s="21">
        <f t="shared" ref="BQ21" si="39">BR21+BS21</f>
        <v>157.834</v>
      </c>
      <c r="BR21" s="21">
        <v>157.834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f t="shared" si="26"/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</row>
    <row r="22" spans="1:86" ht="15.75">
      <c r="A22" s="20" t="s">
        <v>70</v>
      </c>
      <c r="B22" s="26">
        <f>C22+J22+K22+L22</f>
        <v>14002.660039999999</v>
      </c>
      <c r="C22" s="26">
        <f t="shared" ref="C22" si="40">D22+G22+I22</f>
        <v>9363.3503199999996</v>
      </c>
      <c r="D22" s="50">
        <v>7563.2946400000001</v>
      </c>
      <c r="E22" s="50">
        <v>5112.4087399999999</v>
      </c>
      <c r="F22" s="26">
        <v>2240.2255500000001</v>
      </c>
      <c r="G22" s="50">
        <f>8677.95032-D22</f>
        <v>1114.6556799999998</v>
      </c>
      <c r="H22" s="26">
        <v>17.375</v>
      </c>
      <c r="I22" s="26">
        <v>685.4</v>
      </c>
      <c r="J22" s="26">
        <f>5324.70972-K22-L22-I22</f>
        <v>4355.6839799999998</v>
      </c>
      <c r="K22" s="26">
        <v>283.62574000000001</v>
      </c>
      <c r="L22" s="26">
        <v>0</v>
      </c>
      <c r="M22" s="26">
        <f t="shared" ref="M22" si="41">N22+O22+P22+Q22</f>
        <v>14106.063549999999</v>
      </c>
      <c r="N22" s="26">
        <f>S22+X22+AC22</f>
        <v>3604.84789</v>
      </c>
      <c r="O22" s="26">
        <f t="shared" ref="O22:P22" si="42">T22+Y22+AD22</f>
        <v>1060.6977299999999</v>
      </c>
      <c r="P22" s="26">
        <f t="shared" si="42"/>
        <v>817.35778000000005</v>
      </c>
      <c r="Q22" s="26">
        <f t="shared" ref="Q22" si="43">V22+AA22+AF22+AK22</f>
        <v>8623.1601499999997</v>
      </c>
      <c r="R22" s="58">
        <f>5953.68263+3796.69594</f>
        <v>9750.3785700000008</v>
      </c>
      <c r="S22" s="58">
        <f>2139.97507+1464.87282</f>
        <v>3604.84789</v>
      </c>
      <c r="T22" s="58">
        <f>635.20949+425.48824</f>
        <v>1060.6977299999999</v>
      </c>
      <c r="U22" s="58">
        <f>65.69645+751.66133</f>
        <v>817.35778000000005</v>
      </c>
      <c r="V22" s="58">
        <f t="shared" si="27"/>
        <v>4267.4751700000006</v>
      </c>
      <c r="W22" s="56">
        <f t="shared" ref="W22" si="44">X22+Y22+Z22+AA22</f>
        <v>0</v>
      </c>
      <c r="X22" s="56">
        <v>0</v>
      </c>
      <c r="Y22" s="56">
        <v>0</v>
      </c>
      <c r="Z22" s="56">
        <v>0</v>
      </c>
      <c r="AA22" s="56">
        <v>0</v>
      </c>
      <c r="AB22" s="26">
        <v>4355.68498</v>
      </c>
      <c r="AC22" s="26">
        <v>0</v>
      </c>
      <c r="AD22" s="26">
        <v>0</v>
      </c>
      <c r="AE22" s="26">
        <v>0</v>
      </c>
      <c r="AF22" s="26">
        <f t="shared" si="28"/>
        <v>4355.68498</v>
      </c>
      <c r="AG22" s="26">
        <f t="shared" ref="AG22" si="45">AH22+AI22+AJ22+AK22</f>
        <v>0</v>
      </c>
      <c r="AH22" s="26">
        <v>0</v>
      </c>
      <c r="AI22" s="26">
        <v>0</v>
      </c>
      <c r="AJ22" s="26">
        <v>0</v>
      </c>
      <c r="AK22" s="26">
        <v>0</v>
      </c>
      <c r="AL22" s="21">
        <f>B22-M22</f>
        <v>-103.4035100000001</v>
      </c>
      <c r="AM22" s="21">
        <f t="shared" si="19"/>
        <v>0</v>
      </c>
      <c r="AN22" s="21">
        <v>0</v>
      </c>
      <c r="AO22" s="21">
        <v>0</v>
      </c>
      <c r="AP22" s="21">
        <f>AQ22-AR22</f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f>-AL22</f>
        <v>103.4035100000001</v>
      </c>
      <c r="AV22" s="21">
        <v>2819.20001</v>
      </c>
      <c r="AW22" s="46">
        <v>2139.97507</v>
      </c>
      <c r="AX22" s="21">
        <v>0</v>
      </c>
      <c r="AY22" s="48">
        <v>635.20948999999996</v>
      </c>
      <c r="AZ22" s="21">
        <v>0</v>
      </c>
      <c r="BA22" s="21">
        <f t="shared" si="29"/>
        <v>44.015450000000328</v>
      </c>
      <c r="BB22" s="21">
        <f>146.2-AZ22-AX22</f>
        <v>146.19999999999999</v>
      </c>
      <c r="BC22" s="21">
        <f t="shared" si="22"/>
        <v>839.38562999999999</v>
      </c>
      <c r="BD22" s="21">
        <f>839.38563-BE22-BF22</f>
        <v>839.38562999999999</v>
      </c>
      <c r="BE22" s="21">
        <v>0</v>
      </c>
      <c r="BF22" s="21">
        <v>0</v>
      </c>
      <c r="BG22" s="21">
        <f>BH22+BI22+BJ22</f>
        <v>735.98212000000001</v>
      </c>
      <c r="BH22" s="21">
        <v>735.98212000000001</v>
      </c>
      <c r="BI22" s="21">
        <v>0</v>
      </c>
      <c r="BJ22" s="21">
        <v>0</v>
      </c>
      <c r="BK22" s="21">
        <v>0</v>
      </c>
      <c r="BL22" s="21">
        <f>F22+BM22</f>
        <v>2240.2255500000001</v>
      </c>
      <c r="BM22" s="21">
        <f>BO22</f>
        <v>0</v>
      </c>
      <c r="BN22" s="21">
        <v>1285.90371</v>
      </c>
      <c r="BO22" s="21">
        <v>0</v>
      </c>
      <c r="BP22" s="21">
        <f>BL22-BN22</f>
        <v>954.32184000000007</v>
      </c>
      <c r="BQ22" s="21">
        <f>BR22+BS22</f>
        <v>551.56924000000004</v>
      </c>
      <c r="BR22" s="21">
        <v>551.56924000000004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f t="shared" si="26"/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</row>
    <row r="23" spans="1:86" hidden="1">
      <c r="A23" s="16" t="s">
        <v>38</v>
      </c>
      <c r="B23" s="17">
        <f t="shared" ref="B23:B25" si="46">C23+J23+K23+L23</f>
        <v>0</v>
      </c>
      <c r="C23" s="17">
        <f t="shared" ref="C23:C25" si="47">D23+G23+I23</f>
        <v>0</v>
      </c>
      <c r="D23" s="23"/>
      <c r="E23" s="17"/>
      <c r="F23" s="17"/>
      <c r="G23" s="17"/>
      <c r="H23" s="17"/>
      <c r="I23" s="17"/>
      <c r="J23" s="17"/>
      <c r="K23" s="17"/>
      <c r="L23" s="17"/>
      <c r="M23" s="17">
        <f t="shared" ref="M23:M25" si="48">N23+O23+P23+Q23</f>
        <v>0</v>
      </c>
      <c r="N23" s="17">
        <f t="shared" ref="N23:N25" si="49">S23+X23+AC23</f>
        <v>0</v>
      </c>
      <c r="O23" s="17">
        <f t="shared" ref="O23:O25" si="50">T23+Y23+AD23</f>
        <v>0</v>
      </c>
      <c r="P23" s="17">
        <f t="shared" ref="P23:P25" si="51">U23+Z23+AE23</f>
        <v>0</v>
      </c>
      <c r="Q23" s="17">
        <f>V23+AA23+AF23</f>
        <v>0</v>
      </c>
      <c r="R23" s="22">
        <f>S23+T23+U23+V23</f>
        <v>0</v>
      </c>
      <c r="S23" s="38"/>
      <c r="T23" s="22"/>
      <c r="U23" s="22"/>
      <c r="V23" s="22"/>
      <c r="W23" s="24">
        <f>X23+Y23+Z23+AA23</f>
        <v>0</v>
      </c>
      <c r="X23" s="24"/>
      <c r="Y23" s="24"/>
      <c r="Z23" s="24"/>
      <c r="AA23" s="24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52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21">
        <f>AL23</f>
        <v>0</v>
      </c>
      <c r="AV23" s="28"/>
      <c r="AW23" s="29"/>
      <c r="AX23" s="29"/>
      <c r="AY23" s="29"/>
      <c r="AZ23" s="29"/>
      <c r="BA23" s="17"/>
      <c r="BB23" s="17"/>
      <c r="BC23" s="17">
        <f t="shared" ref="BC23:BC25" si="53">BD23+BE23+BF23</f>
        <v>0</v>
      </c>
      <c r="BD23" s="17"/>
      <c r="BE23" s="17"/>
      <c r="BF23" s="17"/>
      <c r="BG23" s="17">
        <f t="shared" ref="BG23:BG25" si="54">BH23+BI23+BJ23</f>
        <v>0</v>
      </c>
      <c r="BH23" s="17"/>
      <c r="BI23" s="17"/>
      <c r="BJ23" s="21">
        <v>0</v>
      </c>
      <c r="BK23" s="17"/>
      <c r="BL23" s="21">
        <f t="shared" ref="BL23:BL25" si="55">F23+BM23</f>
        <v>0</v>
      </c>
      <c r="BM23" s="21">
        <v>0</v>
      </c>
      <c r="BN23" s="21">
        <v>0</v>
      </c>
      <c r="BO23" s="21">
        <v>0</v>
      </c>
      <c r="BP23" s="17"/>
      <c r="BQ23" s="21">
        <f t="shared" ref="BQ23:BQ25" si="56">BR23+BS23</f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f t="shared" ref="CC23:CC25" si="57">CD23</f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</row>
    <row r="24" spans="1:86" hidden="1">
      <c r="A24" s="16" t="s">
        <v>38</v>
      </c>
      <c r="B24" s="17">
        <f t="shared" si="46"/>
        <v>0</v>
      </c>
      <c r="C24" s="17">
        <f t="shared" si="47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48"/>
        <v>0</v>
      </c>
      <c r="N24" s="17">
        <f t="shared" si="49"/>
        <v>0</v>
      </c>
      <c r="O24" s="17">
        <f t="shared" si="50"/>
        <v>0</v>
      </c>
      <c r="P24" s="17">
        <f t="shared" si="51"/>
        <v>0</v>
      </c>
      <c r="Q24" s="17">
        <f>V24+AA24+AF24</f>
        <v>0</v>
      </c>
      <c r="R24" s="22">
        <f>S24+T24+U24+V24</f>
        <v>0</v>
      </c>
      <c r="S24" s="38"/>
      <c r="T24" s="22"/>
      <c r="U24" s="22"/>
      <c r="V24" s="22"/>
      <c r="W24" s="24">
        <f>X24+Y24+Z24+AA24</f>
        <v>0</v>
      </c>
      <c r="X24" s="24"/>
      <c r="Y24" s="24"/>
      <c r="Z24" s="24"/>
      <c r="AA24" s="24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52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21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53"/>
        <v>0</v>
      </c>
      <c r="BD24" s="17"/>
      <c r="BE24" s="17"/>
      <c r="BF24" s="17"/>
      <c r="BG24" s="17">
        <f t="shared" si="54"/>
        <v>0</v>
      </c>
      <c r="BH24" s="17"/>
      <c r="BI24" s="17"/>
      <c r="BJ24" s="21">
        <v>0</v>
      </c>
      <c r="BK24" s="17"/>
      <c r="BL24" s="21">
        <f t="shared" si="55"/>
        <v>0</v>
      </c>
      <c r="BM24" s="21">
        <v>0</v>
      </c>
      <c r="BN24" s="21">
        <v>0</v>
      </c>
      <c r="BO24" s="21">
        <v>0</v>
      </c>
      <c r="BP24" s="17"/>
      <c r="BQ24" s="21">
        <f t="shared" si="56"/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f t="shared" si="57"/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</row>
    <row r="25" spans="1:86" ht="13.5" hidden="1" customHeight="1">
      <c r="A25" s="16" t="s">
        <v>38</v>
      </c>
      <c r="B25" s="17">
        <f t="shared" si="46"/>
        <v>0</v>
      </c>
      <c r="C25" s="17">
        <f t="shared" si="47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48"/>
        <v>0</v>
      </c>
      <c r="N25" s="17">
        <f t="shared" si="49"/>
        <v>0</v>
      </c>
      <c r="O25" s="17">
        <f t="shared" si="50"/>
        <v>0</v>
      </c>
      <c r="P25" s="17">
        <f t="shared" si="51"/>
        <v>0</v>
      </c>
      <c r="Q25" s="17">
        <f>V25+AA25+AF25</f>
        <v>0</v>
      </c>
      <c r="R25" s="22">
        <f>S25+T25+U25+V25</f>
        <v>0</v>
      </c>
      <c r="S25" s="38"/>
      <c r="T25" s="22"/>
      <c r="U25" s="22"/>
      <c r="V25" s="22"/>
      <c r="W25" s="24">
        <f>X25+Y25+Z25+AA25</f>
        <v>0</v>
      </c>
      <c r="X25" s="24"/>
      <c r="Y25" s="24"/>
      <c r="Z25" s="24"/>
      <c r="AA25" s="24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52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21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53"/>
        <v>0</v>
      </c>
      <c r="BD25" s="17"/>
      <c r="BE25" s="17"/>
      <c r="BF25" s="17"/>
      <c r="BG25" s="17">
        <f t="shared" si="54"/>
        <v>0</v>
      </c>
      <c r="BH25" s="17"/>
      <c r="BI25" s="17"/>
      <c r="BJ25" s="21">
        <v>0</v>
      </c>
      <c r="BK25" s="17"/>
      <c r="BL25" s="21">
        <f t="shared" si="55"/>
        <v>0</v>
      </c>
      <c r="BM25" s="21">
        <v>0</v>
      </c>
      <c r="BN25" s="21">
        <v>0</v>
      </c>
      <c r="BO25" s="21">
        <v>0</v>
      </c>
      <c r="BP25" s="17"/>
      <c r="BQ25" s="21">
        <f t="shared" si="56"/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f t="shared" si="57"/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</row>
    <row r="26" spans="1:86">
      <c r="B26" s="128"/>
      <c r="S26" s="40"/>
      <c r="U26" s="41">
        <f>S12+T12</f>
        <v>85040.969639999996</v>
      </c>
    </row>
    <row r="27" spans="1:86">
      <c r="R27" s="41"/>
    </row>
    <row r="28" spans="1:86" ht="15" customHeight="1">
      <c r="C28" s="4" t="s">
        <v>83</v>
      </c>
      <c r="H28" s="4" t="s">
        <v>84</v>
      </c>
      <c r="M28" s="63" t="s">
        <v>85</v>
      </c>
      <c r="N28" s="63"/>
      <c r="O28" s="63"/>
      <c r="P28" s="63"/>
      <c r="Q28" s="63"/>
      <c r="R28" s="63"/>
      <c r="S28" s="63"/>
      <c r="T28" s="63"/>
      <c r="U28" s="63"/>
      <c r="V28" s="63"/>
      <c r="W28" s="27"/>
      <c r="X28" s="27"/>
      <c r="Y28" s="27"/>
      <c r="Z28" s="27"/>
      <c r="AA28" s="27"/>
      <c r="BQ28" s="64" t="s">
        <v>86</v>
      </c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30"/>
      <c r="CE28" s="30"/>
      <c r="CF28" s="30"/>
    </row>
    <row r="29" spans="1:86"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27"/>
      <c r="X29" s="27"/>
      <c r="Y29" s="27"/>
      <c r="Z29" s="27"/>
      <c r="AA29" s="27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30"/>
      <c r="CE29" s="30"/>
      <c r="CF29" s="30"/>
    </row>
    <row r="30" spans="1:86">
      <c r="B30" s="4" t="s">
        <v>87</v>
      </c>
      <c r="C30" s="4" t="s">
        <v>88</v>
      </c>
    </row>
    <row r="31" spans="1:86">
      <c r="B31" s="4" t="s">
        <v>89</v>
      </c>
    </row>
  </sheetData>
  <mergeCells count="100"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N8:N9"/>
    <mergeCell ref="O8:O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BE8:BE9"/>
    <mergeCell ref="AW7:BB7"/>
    <mergeCell ref="AW8:AW9"/>
    <mergeCell ref="Q8:Q9"/>
    <mergeCell ref="AC8:AC9"/>
    <mergeCell ref="X8:X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AR8:AR9"/>
    <mergeCell ref="M28:V29"/>
    <mergeCell ref="BQ28:CC29"/>
    <mergeCell ref="AL6:AL9"/>
    <mergeCell ref="AM8:AM9"/>
    <mergeCell ref="AH7:AK7"/>
    <mergeCell ref="AI8:AI9"/>
    <mergeCell ref="BG7:BG9"/>
    <mergeCell ref="BD7:BF7"/>
    <mergeCell ref="AM6:AU6"/>
    <mergeCell ref="BC6:BJ6"/>
    <mergeCell ref="BD8:BD9"/>
    <mergeCell ref="BA8:BA9"/>
    <mergeCell ref="BH8:BH9"/>
    <mergeCell ref="BC7:BC9"/>
    <mergeCell ref="BF8:BF9"/>
    <mergeCell ref="BH7:BJ7"/>
  </mergeCells>
  <phoneticPr fontId="12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2022-10-10T08:57:17Z</cp:lastPrinted>
  <dcterms:created xsi:type="dcterms:W3CDTF">2014-08-27T12:59:30Z</dcterms:created>
  <dcterms:modified xsi:type="dcterms:W3CDTF">2022-10-19T14:38:14Z</dcterms:modified>
</cp:coreProperties>
</file>