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P66" i="2"/>
  <c r="P65"/>
  <c r="F66"/>
  <c r="E66"/>
  <c r="F65"/>
  <c r="E65"/>
  <c r="D66"/>
  <c r="O32"/>
  <c r="O42"/>
  <c r="AQ9"/>
  <c r="AR9"/>
  <c r="AS9"/>
  <c r="AT9"/>
  <c r="AU9"/>
  <c r="AD9"/>
  <c r="AV9"/>
  <c r="AW9"/>
  <c r="O20"/>
  <c r="E42"/>
  <c r="L20"/>
  <c r="I20"/>
  <c r="I19"/>
  <c r="J20"/>
  <c r="E20"/>
  <c r="I42"/>
  <c r="J42"/>
  <c r="K19"/>
  <c r="K20"/>
  <c r="AF12"/>
  <c r="AG12"/>
  <c r="AH12"/>
  <c r="AM12"/>
  <c r="AN12"/>
  <c r="AQ12"/>
  <c r="AR12"/>
  <c r="AS12"/>
  <c r="AT12"/>
  <c r="AU12"/>
  <c r="AV12"/>
  <c r="AW12"/>
  <c r="AX9"/>
  <c r="AY9"/>
  <c r="J11"/>
  <c r="I11"/>
  <c r="H11"/>
  <c r="H30"/>
  <c r="F30"/>
  <c r="E30"/>
  <c r="E11"/>
  <c r="K32"/>
  <c r="F31"/>
  <c r="E31"/>
  <c r="P20" l="1"/>
  <c r="E18"/>
  <c r="F18"/>
  <c r="G18"/>
  <c r="H18"/>
  <c r="I18"/>
  <c r="J18"/>
  <c r="L18"/>
  <c r="AL12" s="1"/>
  <c r="M18"/>
  <c r="N18"/>
  <c r="E13"/>
  <c r="F13"/>
  <c r="G13"/>
  <c r="H13"/>
  <c r="I13"/>
  <c r="J13"/>
  <c r="K13"/>
  <c r="L13"/>
  <c r="M13"/>
  <c r="N13"/>
  <c r="O13"/>
  <c r="O17"/>
  <c r="P17" s="1"/>
  <c r="D40" l="1"/>
  <c r="D32"/>
  <c r="D18"/>
  <c r="AD12" s="1"/>
  <c r="O18" l="1"/>
  <c r="N20"/>
  <c r="M20"/>
  <c r="H20"/>
  <c r="G20"/>
  <c r="F20"/>
  <c r="K18"/>
  <c r="AK12" s="1"/>
  <c r="J19"/>
  <c r="O40" l="1"/>
  <c r="O41"/>
  <c r="E40"/>
  <c r="N40"/>
  <c r="M40"/>
  <c r="L40"/>
  <c r="J40"/>
  <c r="I40"/>
  <c r="G40"/>
  <c r="F40"/>
  <c r="N41"/>
  <c r="M41"/>
  <c r="L41"/>
  <c r="K41"/>
  <c r="J41"/>
  <c r="I41"/>
  <c r="H41"/>
  <c r="G41"/>
  <c r="F41"/>
  <c r="E41"/>
  <c r="M42"/>
  <c r="L42"/>
  <c r="N42"/>
  <c r="K42"/>
  <c r="H42"/>
  <c r="G42"/>
  <c r="F42"/>
  <c r="N39" l="1"/>
  <c r="H39"/>
  <c r="G39"/>
  <c r="M39"/>
  <c r="J39"/>
  <c r="AJ12" s="1"/>
  <c r="I39"/>
  <c r="AI12" s="1"/>
  <c r="K39"/>
  <c r="F39"/>
  <c r="L39"/>
  <c r="K11"/>
  <c r="G11"/>
  <c r="F11"/>
  <c r="N30"/>
  <c r="K30"/>
  <c r="J30"/>
  <c r="I30"/>
  <c r="L31"/>
  <c r="K31"/>
  <c r="J31"/>
  <c r="I31"/>
  <c r="H31"/>
  <c r="D13"/>
  <c r="O11"/>
  <c r="J32"/>
  <c r="I32"/>
  <c r="H32"/>
  <c r="F32"/>
  <c r="E32"/>
  <c r="O15"/>
  <c r="N15"/>
  <c r="M15"/>
  <c r="L15"/>
  <c r="J15"/>
  <c r="I15"/>
  <c r="H15"/>
  <c r="G15"/>
  <c r="F15"/>
  <c r="E15"/>
  <c r="H12" l="1"/>
  <c r="H10"/>
  <c r="M12"/>
  <c r="M10"/>
  <c r="G12"/>
  <c r="G10"/>
  <c r="L12"/>
  <c r="L10"/>
  <c r="F12"/>
  <c r="F10"/>
  <c r="J12"/>
  <c r="J10"/>
  <c r="O12"/>
  <c r="O10"/>
  <c r="E12"/>
  <c r="E10"/>
  <c r="I12"/>
  <c r="I10"/>
  <c r="N12"/>
  <c r="N10"/>
  <c r="K15"/>
  <c r="K12" l="1"/>
  <c r="K10"/>
  <c r="P15"/>
  <c r="P16"/>
  <c r="O30"/>
  <c r="G30"/>
  <c r="M30"/>
  <c r="L30"/>
  <c r="G31"/>
  <c r="N31"/>
  <c r="N29" s="1"/>
  <c r="I29"/>
  <c r="O31"/>
  <c r="M32"/>
  <c r="G32"/>
  <c r="N32"/>
  <c r="L32"/>
  <c r="O35"/>
  <c r="N35"/>
  <c r="M35"/>
  <c r="L35"/>
  <c r="K35"/>
  <c r="J35"/>
  <c r="I35"/>
  <c r="H35"/>
  <c r="G35"/>
  <c r="F35"/>
  <c r="E35"/>
  <c r="E29" s="1"/>
  <c r="O36"/>
  <c r="J36"/>
  <c r="H29" l="1"/>
  <c r="U9" s="1"/>
  <c r="K29"/>
  <c r="J29"/>
  <c r="M29"/>
  <c r="O29"/>
  <c r="F29"/>
  <c r="L29"/>
  <c r="G29"/>
  <c r="R9"/>
  <c r="V9"/>
  <c r="W9"/>
  <c r="AA9"/>
  <c r="S9" l="1"/>
  <c r="X9"/>
  <c r="Y9"/>
  <c r="Z9"/>
  <c r="AB9"/>
  <c r="T9"/>
  <c r="AC9" l="1"/>
  <c r="K28"/>
  <c r="N28"/>
  <c r="M28"/>
  <c r="L28"/>
  <c r="J28"/>
  <c r="I28"/>
  <c r="H28"/>
  <c r="G28"/>
  <c r="F28"/>
  <c r="P47"/>
  <c r="P46"/>
  <c r="P45"/>
  <c r="P44"/>
  <c r="O43"/>
  <c r="P42"/>
  <c r="P41"/>
  <c r="P49"/>
  <c r="P38"/>
  <c r="P35"/>
  <c r="P34"/>
  <c r="D39"/>
  <c r="P43" l="1"/>
  <c r="O39"/>
  <c r="E39"/>
  <c r="AE12" s="1"/>
  <c r="P37"/>
  <c r="P48"/>
  <c r="P40"/>
  <c r="P33"/>
  <c r="P36"/>
  <c r="P32"/>
  <c r="P31"/>
  <c r="O28" l="1"/>
  <c r="AO12"/>
  <c r="E28"/>
  <c r="P39"/>
  <c r="D29"/>
  <c r="P30"/>
  <c r="P18" l="1"/>
  <c r="AP12" s="1"/>
  <c r="D12"/>
  <c r="D10"/>
  <c r="P10" s="1"/>
  <c r="P13"/>
  <c r="D28"/>
  <c r="P29"/>
  <c r="Q9" l="1"/>
  <c r="E52"/>
  <c r="F52"/>
  <c r="G52"/>
  <c r="H52"/>
  <c r="I52"/>
  <c r="J52"/>
  <c r="K52"/>
  <c r="L52"/>
  <c r="M52"/>
  <c r="N52"/>
  <c r="O52"/>
  <c r="D52"/>
  <c r="E58"/>
  <c r="F58"/>
  <c r="G58"/>
  <c r="H58"/>
  <c r="I58"/>
  <c r="J58"/>
  <c r="K58"/>
  <c r="L58"/>
  <c r="M58"/>
  <c r="O58"/>
  <c r="D58"/>
  <c r="P57"/>
  <c r="P55"/>
  <c r="P63"/>
  <c r="P61"/>
  <c r="P62"/>
  <c r="P59"/>
  <c r="P56"/>
  <c r="P21" l="1"/>
  <c r="P19"/>
  <c r="P14"/>
  <c r="O9"/>
  <c r="M9"/>
  <c r="K9"/>
  <c r="J9"/>
  <c r="I9"/>
  <c r="I64" s="1"/>
  <c r="I51" s="1"/>
  <c r="H9"/>
  <c r="H64" s="1"/>
  <c r="H51" s="1"/>
  <c r="G9"/>
  <c r="G64" s="1"/>
  <c r="G51" s="1"/>
  <c r="P11"/>
  <c r="P22"/>
  <c r="P23"/>
  <c r="P24"/>
  <c r="P25"/>
  <c r="P26"/>
  <c r="P27"/>
  <c r="P52"/>
  <c r="P53"/>
  <c r="P54"/>
  <c r="P58"/>
  <c r="P60"/>
  <c r="P67"/>
  <c r="J64" l="1"/>
  <c r="P28"/>
  <c r="L9"/>
  <c r="F9"/>
  <c r="F64" s="1"/>
  <c r="F51" s="1"/>
  <c r="N9"/>
  <c r="E9"/>
  <c r="P12"/>
  <c r="D9"/>
  <c r="B8"/>
  <c r="C8" s="1"/>
  <c r="D8" s="1"/>
  <c r="AE9" l="1"/>
  <c r="D50"/>
  <c r="E50" s="1"/>
  <c r="F50" s="1"/>
  <c r="G50" s="1"/>
  <c r="H50" s="1"/>
  <c r="I50" s="1"/>
  <c r="J50" s="1"/>
  <c r="K50" s="1"/>
  <c r="L50" s="1"/>
  <c r="M50" s="1"/>
  <c r="N50" s="1"/>
  <c r="O50" s="1"/>
  <c r="D64"/>
  <c r="D51" s="1"/>
  <c r="K64"/>
  <c r="J51"/>
  <c r="E64"/>
  <c r="E51" s="1"/>
  <c r="P9"/>
  <c r="E8"/>
  <c r="F8" s="1"/>
  <c r="G8" s="1"/>
  <c r="P50" l="1"/>
  <c r="P64"/>
  <c r="P51" s="1"/>
  <c r="L64"/>
  <c r="K51"/>
  <c r="M64" l="1"/>
  <c r="L51"/>
  <c r="AF9" l="1"/>
  <c r="G65"/>
  <c r="G66" s="1"/>
  <c r="N64"/>
  <c r="M51"/>
  <c r="O64" l="1"/>
  <c r="O51" s="1"/>
  <c r="N51"/>
  <c r="AG9" l="1"/>
  <c r="H65"/>
  <c r="H66" s="1"/>
  <c r="AH9" l="1"/>
  <c r="I65"/>
  <c r="I66" s="1"/>
  <c r="AI9" l="1"/>
  <c r="J65"/>
  <c r="J66" s="1"/>
  <c r="AJ9" l="1"/>
  <c r="K65"/>
  <c r="K66" s="1"/>
  <c r="AK9" l="1"/>
  <c r="L65"/>
  <c r="L66" s="1"/>
  <c r="AL9" l="1"/>
  <c r="M65"/>
  <c r="M66" s="1"/>
  <c r="AM9" l="1"/>
  <c r="N65"/>
  <c r="N66" s="1"/>
  <c r="AN9" l="1"/>
  <c r="O65"/>
  <c r="O66" s="1"/>
  <c r="AO9" l="1"/>
  <c r="AP9" l="1"/>
</calcChain>
</file>

<file path=xl/sharedStrings.xml><?xml version="1.0" encoding="utf-8"?>
<sst xmlns="http://schemas.openxmlformats.org/spreadsheetml/2006/main" count="160" uniqueCount="114">
  <si>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</si>
  <si>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</si>
  <si>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</si>
  <si>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</si>
  <si>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</si>
  <si>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</si>
  <si>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</si>
  <si>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</si>
  <si>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</si>
  <si>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</si>
  <si>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</si>
  <si>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</si>
  <si>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</si>
  <si>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</si>
  <si>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</si>
  <si>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</si>
  <si>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</si>
  <si>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</si>
  <si>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</si>
  <si>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</si>
  <si>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</si>
  <si>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</si>
  <si>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</si>
  <si>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</si>
  <si>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</si>
  <si>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</si>
  <si>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</si>
  <si>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</si>
  <si>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</si>
  <si>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</si>
  <si>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</si>
  <si>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</si>
  <si>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</si>
  <si>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</si>
  <si>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</si>
  <si>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</si>
  <si>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</si>
  <si>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</si>
  <si>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</si>
  <si>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</si>
  <si>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</si>
  <si>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</si>
  <si>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</si>
  <si>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</si>
  <si>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</si>
  <si>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</si>
  <si>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</si>
  <si>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</si>
  <si>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</si>
  <si>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</si>
  <si>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</si>
  <si>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</si>
  <si>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</si>
  <si>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</si>
  <si>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</si>
  <si>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</si>
  <si>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</si>
  <si>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</si>
  <si>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</si>
  <si>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</si>
  <si>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</si>
  <si>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</si>
  <si>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</si>
  <si>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</si>
  <si>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</si>
  <si>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</si>
  <si>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</si>
  <si>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</si>
  <si>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</si>
  <si>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</si>
  <si>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</si>
  <si>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</si>
  <si>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</si>
  <si>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</si>
  <si>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</si>
  <si>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</si>
  <si>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</si>
  <si>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</si>
  <si>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</si>
  <si>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 xml:space="preserve"> Начальник отдела доходов, бюджетного планирования и анализа            _________                                 Степанова Н.В.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</si>
  <si>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</si>
  <si>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</si>
  <si>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</si>
  <si>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</si>
  <si>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</si>
  <si>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</si>
  <si>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</si>
  <si>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</si>
  <si>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</si>
  <si>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</si>
  <si>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</si>
  <si>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</si>
  <si>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</si>
  <si>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</si>
  <si>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</si>
  <si>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</si>
  <si>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</si>
  <si>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</si>
  <si>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</si>
  <si>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</si>
  <si>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</si>
  <si>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</si>
  <si>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</si>
  <si>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</si>
  <si>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</si>
  <si>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</si>
  <si>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</si>
  <si>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(должность)                                                                                            (подпись)                  (расшифровка подписи)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</si>
  <si>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</si>
  <si>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</si>
  <si>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</si>
  <si>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</si>
  <si>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>КАССОВЫЙ ПЛАН НА "01" февраля 2023г.
текущий (очередной)</t>
  </si>
  <si>
    <t>"31" января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</si>
</sst>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164" fontId="2" fillId="0" borderId="6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/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72"/>
  <sheetViews>
    <sheetView tabSelected="1" topLeftCell="A52" zoomScale="90" zoomScaleNormal="90" workbookViewId="0">
      <selection activeCell="A68" sqref="A68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9.140625" style="2" customWidth="1"/>
    <col min="5" max="5" width="10.42578125" style="1" customWidth="1"/>
    <col min="6" max="8" width="8.85546875" style="1" customWidth="1"/>
    <col min="9" max="9" width="9" style="1" customWidth="1"/>
    <col min="10" max="10" width="10.85546875" style="1" customWidth="1"/>
    <col min="11" max="11" width="11.5703125" style="1" customWidth="1"/>
    <col min="12" max="12" width="11.42578125" style="1" customWidth="1"/>
    <col min="13" max="13" width="10.140625" style="1" customWidth="1"/>
    <col min="14" max="14" width="9" style="1" customWidth="1"/>
    <col min="15" max="15" width="10.140625" style="1" customWidth="1"/>
    <col min="16" max="16" width="14.28515625" style="2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16384" width="9.140625" style="1"/>
  </cols>
  <sheetData>
    <row r="1" spans="1:51" ht="48" customHeight="1">
      <c r="B1" s="10"/>
      <c r="C1" s="10"/>
      <c r="D1" s="11"/>
      <c r="E1" s="10"/>
      <c r="F1" s="12"/>
      <c r="G1" s="12"/>
      <c r="I1" s="54" t="s">
        <v>77</v>
      </c>
      <c r="J1" s="54"/>
      <c r="K1" s="54"/>
      <c r="L1" s="54"/>
      <c r="M1" s="54"/>
      <c r="N1" s="54"/>
      <c r="O1" s="54"/>
      <c r="P1" s="54"/>
    </row>
    <row r="2" spans="1:51" ht="16.5" customHeight="1">
      <c r="B2" s="10"/>
      <c r="C2" s="10"/>
      <c r="D2" s="11"/>
      <c r="E2" s="10"/>
      <c r="F2" s="12"/>
      <c r="G2" s="12"/>
      <c r="I2" s="54" t="s">
        <v>110</v>
      </c>
      <c r="J2" s="54"/>
      <c r="K2" s="54"/>
      <c r="L2" s="54"/>
      <c r="M2" s="54"/>
      <c r="N2" s="54"/>
      <c r="O2" s="54"/>
      <c r="P2" s="54"/>
    </row>
    <row r="3" spans="1:51" ht="33" customHeight="1">
      <c r="B3" s="10"/>
      <c r="C3" s="10"/>
      <c r="D3" s="11"/>
      <c r="E3" s="10"/>
      <c r="F3" s="12"/>
      <c r="G3" s="12"/>
      <c r="I3" s="55" t="s">
        <v>111</v>
      </c>
      <c r="J3" s="55"/>
      <c r="K3" s="55"/>
      <c r="L3" s="55"/>
      <c r="M3" s="55"/>
      <c r="N3" s="55"/>
      <c r="O3" s="55"/>
      <c r="P3" s="55"/>
    </row>
    <row r="4" spans="1:51" ht="17.25" customHeight="1">
      <c r="B4" s="10"/>
      <c r="C4" s="10"/>
      <c r="D4" s="11"/>
      <c r="E4" s="10"/>
      <c r="F4" s="12"/>
      <c r="G4" s="12"/>
      <c r="I4" s="54" t="s">
        <v>113</v>
      </c>
      <c r="J4" s="54"/>
      <c r="K4" s="54"/>
      <c r="L4" s="54"/>
      <c r="M4" s="54"/>
      <c r="N4" s="54"/>
      <c r="O4" s="54"/>
      <c r="P4" s="54"/>
    </row>
    <row r="5" spans="1:51" ht="28.5" customHeight="1">
      <c r="A5" s="58" t="s">
        <v>112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51" ht="15.75" customHeight="1" thickBot="1">
      <c r="A6" s="1" t="s">
        <v>78</v>
      </c>
      <c r="C6" s="3"/>
      <c r="D6" s="4"/>
      <c r="E6" s="3"/>
      <c r="F6" s="3"/>
      <c r="G6" s="3"/>
    </row>
    <row r="7" spans="1:51" ht="35.25" customHeight="1">
      <c r="A7" s="28" t="s">
        <v>1</v>
      </c>
      <c r="B7" s="5" t="s">
        <v>2</v>
      </c>
      <c r="C7" s="6" t="s">
        <v>3</v>
      </c>
      <c r="D7" s="6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6" t="s">
        <v>69</v>
      </c>
      <c r="K7" s="6" t="s">
        <v>70</v>
      </c>
      <c r="L7" s="6" t="s">
        <v>71</v>
      </c>
      <c r="M7" s="6" t="s">
        <v>72</v>
      </c>
      <c r="N7" s="6" t="s">
        <v>73</v>
      </c>
      <c r="O7" s="6" t="s">
        <v>74</v>
      </c>
      <c r="P7" s="53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</row>
    <row r="8" spans="1:51" s="14" customFormat="1" ht="9.75" customHeight="1" thickBot="1">
      <c r="A8" s="29" t="s">
        <v>0</v>
      </c>
      <c r="B8" s="19">
        <f>A8+1</f>
        <v>2</v>
      </c>
      <c r="C8" s="20">
        <f t="shared" ref="C8:G8" si="0">B8+1</f>
        <v>3</v>
      </c>
      <c r="D8" s="20">
        <f t="shared" si="0"/>
        <v>4</v>
      </c>
      <c r="E8" s="20">
        <f t="shared" si="0"/>
        <v>5</v>
      </c>
      <c r="F8" s="20">
        <f t="shared" si="0"/>
        <v>6</v>
      </c>
      <c r="G8" s="20">
        <f t="shared" si="0"/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22">
        <v>16</v>
      </c>
    </row>
    <row r="9" spans="1:51" s="18" customFormat="1" ht="33" customHeight="1">
      <c r="A9" s="30" t="s">
        <v>4</v>
      </c>
      <c r="B9" s="34" t="s">
        <v>5</v>
      </c>
      <c r="C9" s="23"/>
      <c r="D9" s="24">
        <f>D11+D12</f>
        <v>18306.09994</v>
      </c>
      <c r="E9" s="24">
        <f t="shared" ref="E9:O9" si="1">E11+E12</f>
        <v>35001.78933</v>
      </c>
      <c r="F9" s="24">
        <f t="shared" si="1"/>
        <v>36717.174330000002</v>
      </c>
      <c r="G9" s="24">
        <f t="shared" si="1"/>
        <v>36468.52233</v>
      </c>
      <c r="H9" s="24">
        <f t="shared" si="1"/>
        <v>37265.654329999998</v>
      </c>
      <c r="I9" s="24">
        <f t="shared" si="1"/>
        <v>56572.754329999996</v>
      </c>
      <c r="J9" s="24">
        <f t="shared" si="1"/>
        <v>57982.029330000005</v>
      </c>
      <c r="K9" s="24">
        <f t="shared" si="1"/>
        <v>32167.358329999999</v>
      </c>
      <c r="L9" s="24">
        <f t="shared" si="1"/>
        <v>26156.582329999997</v>
      </c>
      <c r="M9" s="24">
        <f t="shared" si="1"/>
        <v>34360.553330000002</v>
      </c>
      <c r="N9" s="24">
        <f t="shared" si="1"/>
        <v>34647.50333</v>
      </c>
      <c r="O9" s="24">
        <f t="shared" si="1"/>
        <v>47926.496330000002</v>
      </c>
      <c r="P9" s="47">
        <f>SUM(D9:O9)</f>
        <v>453572.51757000003</v>
      </c>
      <c r="Q9" s="48">
        <f t="shared" ref="Q9:AB9" si="2">D10-D29</f>
        <v>865.78047999999944</v>
      </c>
      <c r="R9" s="48">
        <f t="shared" si="2"/>
        <v>-703.78963000000294</v>
      </c>
      <c r="S9" s="48">
        <f t="shared" si="2"/>
        <v>48.280259999999544</v>
      </c>
      <c r="T9" s="48">
        <f t="shared" si="2"/>
        <v>0.28873999999996158</v>
      </c>
      <c r="U9" s="48">
        <f t="shared" si="2"/>
        <v>-51.771050000003015</v>
      </c>
      <c r="V9" s="48">
        <f t="shared" si="2"/>
        <v>1400.2751300000018</v>
      </c>
      <c r="W9" s="48">
        <f t="shared" si="2"/>
        <v>13802.035940000002</v>
      </c>
      <c r="X9" s="48">
        <f t="shared" si="2"/>
        <v>-288.84400000000096</v>
      </c>
      <c r="Y9" s="48">
        <f t="shared" si="2"/>
        <v>-5321.0546700000014</v>
      </c>
      <c r="Z9" s="48">
        <f t="shared" si="2"/>
        <v>-3679.7881599999964</v>
      </c>
      <c r="AA9" s="48">
        <f t="shared" si="2"/>
        <v>-5171.3040800000053</v>
      </c>
      <c r="AB9" s="48">
        <f t="shared" si="2"/>
        <v>-12133.383330000004</v>
      </c>
      <c r="AC9" s="48">
        <f>W9+X9+Y9+Z9+AA9+AB9</f>
        <v>-12792.338300000007</v>
      </c>
      <c r="AD9" s="52">
        <f>D65+D10-D29</f>
        <v>1531.35707</v>
      </c>
      <c r="AE9" s="52">
        <f t="shared" ref="AE9:AU9" si="3">E65+E10-E29</f>
        <v>825.04803999999785</v>
      </c>
      <c r="AF9" s="52">
        <f t="shared" si="3"/>
        <v>875.8492999999944</v>
      </c>
      <c r="AG9" s="52">
        <f t="shared" si="3"/>
        <v>876.13804000000164</v>
      </c>
      <c r="AH9" s="52">
        <f t="shared" si="3"/>
        <v>824.36698999999498</v>
      </c>
      <c r="AI9" s="52">
        <f t="shared" si="3"/>
        <v>2224.6421199999968</v>
      </c>
      <c r="AJ9" s="52">
        <f t="shared" si="3"/>
        <v>16026.678059999991</v>
      </c>
      <c r="AK9" s="52">
        <f t="shared" si="3"/>
        <v>15737.83405999999</v>
      </c>
      <c r="AL9" s="52">
        <f t="shared" si="3"/>
        <v>10416.779389999992</v>
      </c>
      <c r="AM9" s="52">
        <f t="shared" si="3"/>
        <v>6736.9912299999924</v>
      </c>
      <c r="AN9" s="52">
        <f t="shared" si="3"/>
        <v>1565.6871499999943</v>
      </c>
      <c r="AO9" s="52">
        <f t="shared" si="3"/>
        <v>-10567.696180000006</v>
      </c>
      <c r="AP9" s="52">
        <f t="shared" si="3"/>
        <v>-10567.697779999959</v>
      </c>
      <c r="AQ9" s="52">
        <f t="shared" si="3"/>
        <v>0</v>
      </c>
      <c r="AR9" s="52">
        <f t="shared" si="3"/>
        <v>0</v>
      </c>
      <c r="AS9" s="52">
        <f t="shared" si="3"/>
        <v>0</v>
      </c>
      <c r="AT9" s="52">
        <f t="shared" si="3"/>
        <v>0</v>
      </c>
      <c r="AU9" s="52">
        <f t="shared" si="3"/>
        <v>0</v>
      </c>
      <c r="AV9" s="52">
        <f t="shared" ref="AE9:AW9" si="4">V10-V29</f>
        <v>0</v>
      </c>
      <c r="AW9" s="52">
        <f t="shared" si="4"/>
        <v>0</v>
      </c>
      <c r="AX9" s="52">
        <f t="shared" ref="AE9:AY9" si="5">X65+X10-X29</f>
        <v>0</v>
      </c>
      <c r="AY9" s="52">
        <f t="shared" si="5"/>
        <v>0</v>
      </c>
    </row>
    <row r="10" spans="1:51" s="2" customFormat="1" ht="15" customHeight="1">
      <c r="A10" s="42"/>
      <c r="B10" s="35" t="s">
        <v>94</v>
      </c>
      <c r="C10" s="13" t="s">
        <v>88</v>
      </c>
      <c r="D10" s="9">
        <f>D11+D13</f>
        <v>14452.122939999999</v>
      </c>
      <c r="E10" s="9">
        <f t="shared" ref="E10:O10" si="6">E11+E13</f>
        <v>19001.947329999999</v>
      </c>
      <c r="F10" s="9">
        <f t="shared" si="6"/>
        <v>18651.644329999999</v>
      </c>
      <c r="G10" s="9">
        <f t="shared" si="6"/>
        <v>18864.597330000001</v>
      </c>
      <c r="H10" s="9">
        <f t="shared" si="6"/>
        <v>19586.854329999998</v>
      </c>
      <c r="I10" s="9">
        <f t="shared" si="6"/>
        <v>20521.384330000001</v>
      </c>
      <c r="J10" s="9">
        <f t="shared" si="6"/>
        <v>40106.404330000005</v>
      </c>
      <c r="K10" s="9">
        <f t="shared" si="6"/>
        <v>19880.158329999998</v>
      </c>
      <c r="L10" s="9">
        <f t="shared" si="6"/>
        <v>17386.782330000002</v>
      </c>
      <c r="M10" s="9">
        <f t="shared" si="6"/>
        <v>17017.028330000001</v>
      </c>
      <c r="N10" s="9">
        <f t="shared" si="6"/>
        <v>17544.103329999998</v>
      </c>
      <c r="O10" s="9">
        <f t="shared" si="6"/>
        <v>17936.606329999999</v>
      </c>
      <c r="P10" s="8">
        <f>SUM(D10:O10)</f>
        <v>240949.63357000003</v>
      </c>
    </row>
    <row r="11" spans="1:51" s="18" customFormat="1" ht="15.75" customHeight="1">
      <c r="A11" s="32" t="s">
        <v>6</v>
      </c>
      <c r="B11" s="36" t="s">
        <v>7</v>
      </c>
      <c r="C11" s="15" t="s">
        <v>8</v>
      </c>
      <c r="D11" s="17">
        <v>4398.2896099999998</v>
      </c>
      <c r="E11" s="17">
        <f>10000-1750.5-400+400</f>
        <v>8249.5</v>
      </c>
      <c r="F11" s="17">
        <f>10000-1717.85-100</f>
        <v>8182.15</v>
      </c>
      <c r="G11" s="17">
        <f>10000-1556.8</f>
        <v>8443.2000000000007</v>
      </c>
      <c r="H11" s="17">
        <f>10000-1951.95-100+1200</f>
        <v>9148.0499999999993</v>
      </c>
      <c r="I11" s="17">
        <f>10000-859.6-400+1400</f>
        <v>10140.4</v>
      </c>
      <c r="J11" s="17">
        <f>10000+6387.9+15000-600+2001.8-400-1200-1400</f>
        <v>29789.700000000004</v>
      </c>
      <c r="K11" s="17">
        <f>10000-45.45-400</f>
        <v>9554.5499999999993</v>
      </c>
      <c r="L11" s="17">
        <v>6989</v>
      </c>
      <c r="M11" s="17">
        <v>6598</v>
      </c>
      <c r="N11" s="17">
        <v>7125</v>
      </c>
      <c r="O11" s="17">
        <f>7000-351.1</f>
        <v>6648.9</v>
      </c>
      <c r="P11" s="46">
        <f t="shared" ref="P11:P21" si="7">SUM(D11:O11)</f>
        <v>115266.73961</v>
      </c>
    </row>
    <row r="12" spans="1:51" s="18" customFormat="1" ht="15.75" customHeight="1">
      <c r="A12" s="32" t="s">
        <v>9</v>
      </c>
      <c r="B12" s="36" t="s">
        <v>95</v>
      </c>
      <c r="C12" s="15" t="s">
        <v>10</v>
      </c>
      <c r="D12" s="17">
        <f>D13+D18</f>
        <v>13907.81033</v>
      </c>
      <c r="E12" s="17">
        <f t="shared" ref="E12:O12" si="8">E13+E18</f>
        <v>26752.28933</v>
      </c>
      <c r="F12" s="17">
        <f t="shared" si="8"/>
        <v>28535.02433</v>
      </c>
      <c r="G12" s="17">
        <f t="shared" si="8"/>
        <v>28025.322329999999</v>
      </c>
      <c r="H12" s="17">
        <f t="shared" si="8"/>
        <v>28117.604329999998</v>
      </c>
      <c r="I12" s="17">
        <f t="shared" si="8"/>
        <v>46432.354329999995</v>
      </c>
      <c r="J12" s="17">
        <f t="shared" si="8"/>
        <v>28192.32933</v>
      </c>
      <c r="K12" s="17">
        <f t="shared" si="8"/>
        <v>22612.80833</v>
      </c>
      <c r="L12" s="17">
        <f t="shared" si="8"/>
        <v>19167.582329999997</v>
      </c>
      <c r="M12" s="17">
        <f t="shared" si="8"/>
        <v>27762.553330000002</v>
      </c>
      <c r="N12" s="17">
        <f t="shared" si="8"/>
        <v>27522.50333</v>
      </c>
      <c r="O12" s="17">
        <f t="shared" si="8"/>
        <v>41277.59633</v>
      </c>
      <c r="P12" s="46">
        <f t="shared" si="7"/>
        <v>338305.77795999998</v>
      </c>
      <c r="AD12" s="52">
        <f>-D26+D18-D39</f>
        <v>1.6000000000531145E-3</v>
      </c>
      <c r="AE12" s="52">
        <f>E18-E39</f>
        <v>2.5210000000006403</v>
      </c>
      <c r="AF12" s="52">
        <f t="shared" ref="AF12:AS12" si="9">F18-F39</f>
        <v>0</v>
      </c>
      <c r="AG12" s="52">
        <f t="shared" si="9"/>
        <v>0</v>
      </c>
      <c r="AH12" s="52">
        <f t="shared" si="9"/>
        <v>0</v>
      </c>
      <c r="AI12" s="52">
        <f t="shared" si="9"/>
        <v>0</v>
      </c>
      <c r="AJ12" s="52">
        <f t="shared" si="9"/>
        <v>0</v>
      </c>
      <c r="AK12" s="52">
        <f t="shared" si="9"/>
        <v>0</v>
      </c>
      <c r="AL12" s="52">
        <f t="shared" si="9"/>
        <v>0</v>
      </c>
      <c r="AM12" s="52">
        <f t="shared" si="9"/>
        <v>0</v>
      </c>
      <c r="AN12" s="52">
        <f t="shared" si="9"/>
        <v>0</v>
      </c>
      <c r="AO12" s="52">
        <f t="shared" si="9"/>
        <v>1.0999999998603016E-2</v>
      </c>
      <c r="AP12" s="52">
        <f t="shared" si="9"/>
        <v>1.2599999958183616E-2</v>
      </c>
      <c r="AQ12" s="52">
        <f t="shared" si="9"/>
        <v>0</v>
      </c>
      <c r="AR12" s="52">
        <f t="shared" si="9"/>
        <v>0</v>
      </c>
      <c r="AS12" s="52">
        <f t="shared" si="9"/>
        <v>0</v>
      </c>
      <c r="AT12" s="52">
        <f t="shared" ref="AT12:AU12" si="10">-T26+T18-T39</f>
        <v>0</v>
      </c>
      <c r="AU12" s="52">
        <f t="shared" si="10"/>
        <v>0</v>
      </c>
      <c r="AV12" s="52">
        <f t="shared" ref="AV12:AW12" si="11">V26+W18-W39</f>
        <v>0</v>
      </c>
      <c r="AW12" s="52">
        <f t="shared" si="11"/>
        <v>0</v>
      </c>
    </row>
    <row r="13" spans="1:51" s="18" customFormat="1" ht="15.75" customHeight="1">
      <c r="A13" s="32" t="s">
        <v>96</v>
      </c>
      <c r="B13" s="37" t="s">
        <v>103</v>
      </c>
      <c r="C13" s="15" t="s">
        <v>88</v>
      </c>
      <c r="D13" s="17">
        <f t="shared" ref="D13:O13" si="12">D14+D15+D16+D17</f>
        <v>10053.833329999999</v>
      </c>
      <c r="E13" s="17">
        <f t="shared" si="12"/>
        <v>10752.447329999999</v>
      </c>
      <c r="F13" s="17">
        <f t="shared" si="12"/>
        <v>10469.49433</v>
      </c>
      <c r="G13" s="17">
        <f t="shared" si="12"/>
        <v>10421.39733</v>
      </c>
      <c r="H13" s="17">
        <f t="shared" si="12"/>
        <v>10438.804329999999</v>
      </c>
      <c r="I13" s="17">
        <f t="shared" si="12"/>
        <v>10380.984329999999</v>
      </c>
      <c r="J13" s="17">
        <f t="shared" si="12"/>
        <v>10316.704329999999</v>
      </c>
      <c r="K13" s="17">
        <f t="shared" si="12"/>
        <v>10325.608329999999</v>
      </c>
      <c r="L13" s="17">
        <f t="shared" si="12"/>
        <v>10397.78233</v>
      </c>
      <c r="M13" s="17">
        <f t="shared" si="12"/>
        <v>10419.028329999999</v>
      </c>
      <c r="N13" s="17">
        <f t="shared" si="12"/>
        <v>10419.10333</v>
      </c>
      <c r="O13" s="17">
        <f t="shared" si="12"/>
        <v>11287.706329999999</v>
      </c>
      <c r="P13" s="46">
        <f t="shared" si="7"/>
        <v>125682.89396</v>
      </c>
    </row>
    <row r="14" spans="1:51" s="2" customFormat="1" ht="14.25" customHeight="1">
      <c r="A14" s="31"/>
      <c r="B14" s="38" t="s">
        <v>11</v>
      </c>
      <c r="C14" s="13" t="s">
        <v>12</v>
      </c>
      <c r="D14" s="9">
        <v>9375.25</v>
      </c>
      <c r="E14" s="9">
        <v>9375.25</v>
      </c>
      <c r="F14" s="9">
        <v>9375.25</v>
      </c>
      <c r="G14" s="9">
        <v>9375.25</v>
      </c>
      <c r="H14" s="9">
        <v>9375.25</v>
      </c>
      <c r="I14" s="9">
        <v>9375.25</v>
      </c>
      <c r="J14" s="9">
        <v>9375.25</v>
      </c>
      <c r="K14" s="9">
        <v>9375.25</v>
      </c>
      <c r="L14" s="9">
        <v>9375.25</v>
      </c>
      <c r="M14" s="9">
        <v>9375.25</v>
      </c>
      <c r="N14" s="9">
        <v>9375.25</v>
      </c>
      <c r="O14" s="9">
        <v>9375.25</v>
      </c>
      <c r="P14" s="8">
        <f>SUM(D14:O14)</f>
        <v>112503</v>
      </c>
    </row>
    <row r="15" spans="1:51" s="2" customFormat="1" ht="49.5" customHeight="1">
      <c r="A15" s="42"/>
      <c r="B15" s="39" t="s">
        <v>101</v>
      </c>
      <c r="C15" s="13" t="s">
        <v>13</v>
      </c>
      <c r="D15" s="9">
        <v>0</v>
      </c>
      <c r="E15" s="9">
        <f>447.55+155.064</f>
        <v>602.61400000000003</v>
      </c>
      <c r="F15" s="9">
        <f>223.775+143.886</f>
        <v>367.661</v>
      </c>
      <c r="G15" s="9">
        <f>223.775+143.789</f>
        <v>367.56399999999996</v>
      </c>
      <c r="H15" s="9">
        <f>223.775+113.196</f>
        <v>336.971</v>
      </c>
      <c r="I15" s="9">
        <f>223.775+103.376</f>
        <v>327.15100000000001</v>
      </c>
      <c r="J15" s="9">
        <f>223.775+39.096</f>
        <v>262.87099999999998</v>
      </c>
      <c r="K15" s="9">
        <f t="shared" ref="K15" si="13">223.775</f>
        <v>223.77500000000001</v>
      </c>
      <c r="L15" s="9">
        <f>223.775+120.174</f>
        <v>343.94900000000001</v>
      </c>
      <c r="M15" s="9">
        <f>223.775+141.42</f>
        <v>365.19499999999999</v>
      </c>
      <c r="N15" s="9">
        <f>223.775+141.495</f>
        <v>365.27</v>
      </c>
      <c r="O15" s="9">
        <f>223.775+311.098</f>
        <v>534.87300000000005</v>
      </c>
      <c r="P15" s="8">
        <f t="shared" ref="P15:P18" si="14">SUM(D15:O15)</f>
        <v>4097.8940000000002</v>
      </c>
    </row>
    <row r="16" spans="1:51" s="2" customFormat="1" ht="15" customHeight="1">
      <c r="A16" s="42"/>
      <c r="B16" s="39" t="s">
        <v>102</v>
      </c>
      <c r="C16" s="13" t="s">
        <v>14</v>
      </c>
      <c r="D16" s="9">
        <v>678.58333000000005</v>
      </c>
      <c r="E16" s="9">
        <v>678.58333000000005</v>
      </c>
      <c r="F16" s="9">
        <v>678.58333000000005</v>
      </c>
      <c r="G16" s="9">
        <v>678.58333000000005</v>
      </c>
      <c r="H16" s="9">
        <v>678.58333000000005</v>
      </c>
      <c r="I16" s="9">
        <v>678.58333000000005</v>
      </c>
      <c r="J16" s="9">
        <v>678.58333000000005</v>
      </c>
      <c r="K16" s="9">
        <v>678.58333000000005</v>
      </c>
      <c r="L16" s="9">
        <v>678.58333000000005</v>
      </c>
      <c r="M16" s="9">
        <v>678.58333000000005</v>
      </c>
      <c r="N16" s="9">
        <v>678.58333000000005</v>
      </c>
      <c r="O16" s="9">
        <v>678.58333000000005</v>
      </c>
      <c r="P16" s="8">
        <f t="shared" si="14"/>
        <v>8142.9999600000019</v>
      </c>
    </row>
    <row r="17" spans="1:16" s="2" customFormat="1" ht="63" customHeight="1">
      <c r="A17" s="42"/>
      <c r="B17" s="39" t="s">
        <v>106</v>
      </c>
      <c r="C17" s="13" t="s">
        <v>15</v>
      </c>
      <c r="D17" s="9">
        <v>0</v>
      </c>
      <c r="E17" s="9">
        <v>96</v>
      </c>
      <c r="F17" s="9">
        <v>48</v>
      </c>
      <c r="G17" s="9">
        <v>0</v>
      </c>
      <c r="H17" s="9">
        <v>48</v>
      </c>
      <c r="I17" s="9">
        <v>0</v>
      </c>
      <c r="J17" s="9">
        <v>0</v>
      </c>
      <c r="K17" s="9">
        <v>48</v>
      </c>
      <c r="L17" s="9">
        <v>0</v>
      </c>
      <c r="M17" s="9">
        <v>0</v>
      </c>
      <c r="N17" s="9">
        <v>0</v>
      </c>
      <c r="O17" s="9">
        <f>939-N17-L17-M17-K17-J17-I17-H17-G17-F17-E17-D17</f>
        <v>699</v>
      </c>
      <c r="P17" s="8">
        <f t="shared" si="14"/>
        <v>939</v>
      </c>
    </row>
    <row r="18" spans="1:16" s="16" customFormat="1" ht="14.25" customHeight="1">
      <c r="A18" s="32" t="s">
        <v>100</v>
      </c>
      <c r="B18" s="37" t="s">
        <v>104</v>
      </c>
      <c r="C18" s="15" t="s">
        <v>88</v>
      </c>
      <c r="D18" s="17">
        <f>D19+D20+D21+D22+D23+D24+D25+D26+D27</f>
        <v>3853.9769999999999</v>
      </c>
      <c r="E18" s="17">
        <f t="shared" ref="E18:O18" si="15">E19+E20+E21+E22+E23+E24+E25+E26+E27</f>
        <v>15999.842000000001</v>
      </c>
      <c r="F18" s="17">
        <f t="shared" si="15"/>
        <v>18065.53</v>
      </c>
      <c r="G18" s="17">
        <f t="shared" si="15"/>
        <v>17603.924999999999</v>
      </c>
      <c r="H18" s="17">
        <f t="shared" si="15"/>
        <v>17678.8</v>
      </c>
      <c r="I18" s="17">
        <f t="shared" si="15"/>
        <v>36051.369999999995</v>
      </c>
      <c r="J18" s="17">
        <f t="shared" si="15"/>
        <v>17875.625</v>
      </c>
      <c r="K18" s="17">
        <f t="shared" si="15"/>
        <v>12287.2</v>
      </c>
      <c r="L18" s="17">
        <f t="shared" si="15"/>
        <v>8769.7999999999993</v>
      </c>
      <c r="M18" s="17">
        <f t="shared" si="15"/>
        <v>17343.525000000001</v>
      </c>
      <c r="N18" s="17">
        <f t="shared" si="15"/>
        <v>17103.400000000001</v>
      </c>
      <c r="O18" s="17">
        <f t="shared" si="15"/>
        <v>29989.89</v>
      </c>
      <c r="P18" s="46">
        <f t="shared" si="14"/>
        <v>212622.88399999996</v>
      </c>
    </row>
    <row r="19" spans="1:16" s="2" customFormat="1" ht="15.75" customHeight="1">
      <c r="A19" s="59"/>
      <c r="B19" s="39" t="s">
        <v>97</v>
      </c>
      <c r="C19" s="13" t="s">
        <v>13</v>
      </c>
      <c r="D19" s="9">
        <v>0</v>
      </c>
      <c r="E19" s="9">
        <v>1255</v>
      </c>
      <c r="F19" s="9">
        <v>1456.3</v>
      </c>
      <c r="G19" s="9">
        <v>1105.4000000000001</v>
      </c>
      <c r="H19" s="9">
        <v>1567.8</v>
      </c>
      <c r="I19" s="9">
        <f>3200+828.7+1401.5133+14.1567</f>
        <v>5444.369999999999</v>
      </c>
      <c r="J19" s="9">
        <f>1390+450+1000+3100+300.6</f>
        <v>6240.6</v>
      </c>
      <c r="K19" s="9">
        <f>1800+3528.7+157.7</f>
        <v>5486.4</v>
      </c>
      <c r="L19" s="9">
        <v>1187.5999999999999</v>
      </c>
      <c r="M19" s="9">
        <v>1186.4000000000001</v>
      </c>
      <c r="N19" s="9">
        <v>1379.7</v>
      </c>
      <c r="O19" s="9">
        <v>1377</v>
      </c>
      <c r="P19" s="8">
        <f t="shared" si="7"/>
        <v>27686.570000000003</v>
      </c>
    </row>
    <row r="20" spans="1:16" s="2" customFormat="1" ht="15.75" customHeight="1">
      <c r="A20" s="59"/>
      <c r="B20" s="39" t="s">
        <v>98</v>
      </c>
      <c r="C20" s="13" t="s">
        <v>14</v>
      </c>
      <c r="D20" s="9">
        <v>3856.498</v>
      </c>
      <c r="E20" s="9">
        <f>15994.8-E21-E19-D26</f>
        <v>13824.620999999999</v>
      </c>
      <c r="F20" s="9">
        <f>18065.53-F21-F19</f>
        <v>15709.23</v>
      </c>
      <c r="G20" s="9">
        <f>17603.925-G19-G21</f>
        <v>15598.524999999998</v>
      </c>
      <c r="H20" s="9">
        <f>17678.8-H19-H21</f>
        <v>15211</v>
      </c>
      <c r="I20" s="9">
        <f>34635.7-I19-I21+1401.5133+14.1567</f>
        <v>27456.999999999996</v>
      </c>
      <c r="J20" s="9">
        <f>17875.625-J19</f>
        <v>11635.025</v>
      </c>
      <c r="K20" s="9">
        <f>12287.2-K19</f>
        <v>6800.8000000000011</v>
      </c>
      <c r="L20" s="9">
        <f>8769.8-L19-L21+1390.5-1390.5</f>
        <v>7132.1999999999989</v>
      </c>
      <c r="M20" s="9">
        <f>17343.525-M19-M21</f>
        <v>15257.125000000002</v>
      </c>
      <c r="N20" s="9">
        <f>17103.4-N19-N21</f>
        <v>14823.7</v>
      </c>
      <c r="O20" s="9">
        <f>30017.6-O19-O21-25.2-2.51</f>
        <v>26812.89</v>
      </c>
      <c r="P20" s="8">
        <f>SUM(D20:O20)</f>
        <v>174118.614</v>
      </c>
    </row>
    <row r="21" spans="1:16" s="2" customFormat="1" ht="15.75" customHeight="1">
      <c r="A21" s="59"/>
      <c r="B21" s="39" t="s">
        <v>99</v>
      </c>
      <c r="C21" s="13" t="s">
        <v>15</v>
      </c>
      <c r="D21" s="9">
        <v>0</v>
      </c>
      <c r="E21" s="9">
        <v>917.7</v>
      </c>
      <c r="F21" s="9">
        <v>900</v>
      </c>
      <c r="G21" s="9">
        <v>900</v>
      </c>
      <c r="H21" s="9">
        <v>900</v>
      </c>
      <c r="I21" s="9">
        <v>3150</v>
      </c>
      <c r="J21" s="9">
        <v>0</v>
      </c>
      <c r="K21" s="9">
        <v>0</v>
      </c>
      <c r="L21" s="9">
        <v>450</v>
      </c>
      <c r="M21" s="9">
        <v>900</v>
      </c>
      <c r="N21" s="9">
        <v>900</v>
      </c>
      <c r="O21" s="9">
        <v>1800</v>
      </c>
      <c r="P21" s="8">
        <f t="shared" si="7"/>
        <v>10817.7</v>
      </c>
    </row>
    <row r="22" spans="1:16" s="2" customFormat="1" ht="30.75" customHeight="1">
      <c r="A22" s="42"/>
      <c r="B22" s="43" t="s">
        <v>16</v>
      </c>
      <c r="C22" s="13" t="s">
        <v>17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8">
        <f t="shared" ref="P22:P67" si="16">SUM(D22:O22)</f>
        <v>0</v>
      </c>
    </row>
    <row r="23" spans="1:16" s="2" customFormat="1" ht="13.5" customHeight="1">
      <c r="A23" s="59"/>
      <c r="B23" s="60" t="s">
        <v>18</v>
      </c>
      <c r="C23" s="13" t="s">
        <v>19</v>
      </c>
      <c r="D23" s="9">
        <v>0</v>
      </c>
      <c r="E23" s="9">
        <v>2.5209999999999999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8">
        <f t="shared" si="16"/>
        <v>2.5209999999999999</v>
      </c>
    </row>
    <row r="24" spans="1:16" s="2" customFormat="1" ht="13.5" customHeight="1">
      <c r="A24" s="59"/>
      <c r="B24" s="60"/>
      <c r="C24" s="13" t="s">
        <v>20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16"/>
        <v>0</v>
      </c>
    </row>
    <row r="25" spans="1:16" s="2" customFormat="1" ht="13.5" customHeight="1">
      <c r="A25" s="59"/>
      <c r="B25" s="60"/>
      <c r="C25" s="13" t="s">
        <v>21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8">
        <f t="shared" si="16"/>
        <v>0</v>
      </c>
    </row>
    <row r="26" spans="1:16" s="2" customFormat="1" ht="13.5" customHeight="1">
      <c r="A26" s="59"/>
      <c r="B26" s="60"/>
      <c r="C26" s="13" t="s">
        <v>22</v>
      </c>
      <c r="D26" s="9">
        <v>-2.5209999999999999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8">
        <f t="shared" si="16"/>
        <v>-2.5209999999999999</v>
      </c>
    </row>
    <row r="27" spans="1:16" s="2" customFormat="1" ht="15" customHeight="1">
      <c r="A27" s="49"/>
      <c r="B27" s="50" t="s">
        <v>23</v>
      </c>
      <c r="C27" s="13"/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8">
        <f t="shared" si="16"/>
        <v>0</v>
      </c>
    </row>
    <row r="28" spans="1:16" s="18" customFormat="1" ht="15" customHeight="1">
      <c r="A28" s="32" t="s">
        <v>24</v>
      </c>
      <c r="B28" s="36" t="s">
        <v>25</v>
      </c>
      <c r="C28" s="15" t="s">
        <v>88</v>
      </c>
      <c r="D28" s="17">
        <f>D29+D39</f>
        <v>17442.83886</v>
      </c>
      <c r="E28" s="17">
        <f t="shared" ref="E28:O28" si="17">E29+E39</f>
        <v>35703.057960000006</v>
      </c>
      <c r="F28" s="17">
        <f t="shared" si="17"/>
        <v>36668.894069999995</v>
      </c>
      <c r="G28" s="17">
        <f t="shared" si="17"/>
        <v>36468.233590000003</v>
      </c>
      <c r="H28" s="17">
        <f t="shared" si="17"/>
        <v>37317.425380000001</v>
      </c>
      <c r="I28" s="17">
        <f t="shared" si="17"/>
        <v>55172.479200000002</v>
      </c>
      <c r="J28" s="17">
        <f t="shared" si="17"/>
        <v>44179.993390000003</v>
      </c>
      <c r="K28" s="17">
        <f t="shared" si="17"/>
        <v>32456.20233</v>
      </c>
      <c r="L28" s="17">
        <f t="shared" si="17"/>
        <v>31477.637000000002</v>
      </c>
      <c r="M28" s="17">
        <f t="shared" si="17"/>
        <v>38040.341489999992</v>
      </c>
      <c r="N28" s="17">
        <f t="shared" si="17"/>
        <v>39818.807410000001</v>
      </c>
      <c r="O28" s="17">
        <f t="shared" si="17"/>
        <v>60059.868660000007</v>
      </c>
      <c r="P28" s="46">
        <f t="shared" si="16"/>
        <v>464805.77934000001</v>
      </c>
    </row>
    <row r="29" spans="1:16" s="18" customFormat="1" ht="84.75" customHeight="1">
      <c r="A29" s="32" t="s">
        <v>26</v>
      </c>
      <c r="B29" s="40" t="s">
        <v>109</v>
      </c>
      <c r="C29" s="15" t="s">
        <v>88</v>
      </c>
      <c r="D29" s="17">
        <f>SUM(D30:D38)</f>
        <v>13586.34246</v>
      </c>
      <c r="E29" s="17">
        <f t="shared" ref="E29:O29" si="18">SUM(E30:E38)</f>
        <v>19705.736960000002</v>
      </c>
      <c r="F29" s="17">
        <f t="shared" si="18"/>
        <v>18603.36407</v>
      </c>
      <c r="G29" s="17">
        <f t="shared" si="18"/>
        <v>18864.308590000001</v>
      </c>
      <c r="H29" s="17">
        <f t="shared" si="18"/>
        <v>19638.625380000001</v>
      </c>
      <c r="I29" s="17">
        <f t="shared" si="18"/>
        <v>19121.109199999999</v>
      </c>
      <c r="J29" s="17">
        <f t="shared" si="18"/>
        <v>26304.368390000003</v>
      </c>
      <c r="K29" s="17">
        <f t="shared" si="18"/>
        <v>20169.002329999999</v>
      </c>
      <c r="L29" s="17">
        <f t="shared" si="18"/>
        <v>22707.837000000003</v>
      </c>
      <c r="M29" s="17">
        <f t="shared" si="18"/>
        <v>20696.816489999997</v>
      </c>
      <c r="N29" s="17">
        <f t="shared" si="18"/>
        <v>22715.407410000003</v>
      </c>
      <c r="O29" s="17">
        <f t="shared" si="18"/>
        <v>30069.989660000003</v>
      </c>
      <c r="P29" s="46">
        <f t="shared" ref="P29:P38" si="19">SUM(D29:O29)</f>
        <v>252182.90794</v>
      </c>
    </row>
    <row r="30" spans="1:16" s="2" customFormat="1" ht="29.25" customHeight="1">
      <c r="A30" s="44"/>
      <c r="B30" s="45" t="s">
        <v>81</v>
      </c>
      <c r="C30" s="13" t="s">
        <v>88</v>
      </c>
      <c r="D30" s="9">
        <v>3005.26926</v>
      </c>
      <c r="E30" s="9">
        <f>5548.39761+2000-300+500</f>
        <v>7748.39761</v>
      </c>
      <c r="F30" s="9">
        <f>4430.86625+2000+300-500</f>
        <v>6230.86625</v>
      </c>
      <c r="G30" s="9">
        <f>4361.785+2000</f>
        <v>6361.7849999999999</v>
      </c>
      <c r="H30" s="9">
        <f>4680.52+2000+1300-500+500</f>
        <v>7980.52</v>
      </c>
      <c r="I30" s="9">
        <f>6094.189+2000-300</f>
        <v>7794.1890000000003</v>
      </c>
      <c r="J30" s="9">
        <f>5824.955+2000-300</f>
        <v>7524.9549999999999</v>
      </c>
      <c r="K30" s="9">
        <f>5278.099+2000-300</f>
        <v>6978.0990000000002</v>
      </c>
      <c r="L30" s="9">
        <f>6392.28+2000</f>
        <v>8392.2799999999988</v>
      </c>
      <c r="M30" s="9">
        <f>6030.4+2000</f>
        <v>8030.4</v>
      </c>
      <c r="N30" s="9">
        <f>8596.30418-100</f>
        <v>8496.3041799999992</v>
      </c>
      <c r="O30" s="9">
        <f>8031.73851+4631-567.9</f>
        <v>12094.83851</v>
      </c>
      <c r="P30" s="8">
        <f t="shared" si="19"/>
        <v>90637.903809999989</v>
      </c>
    </row>
    <row r="31" spans="1:16" s="2" customFormat="1" ht="29.25" customHeight="1">
      <c r="A31" s="44"/>
      <c r="B31" s="45" t="s">
        <v>82</v>
      </c>
      <c r="C31" s="13" t="s">
        <v>88</v>
      </c>
      <c r="D31" s="9">
        <v>1052.4570100000001</v>
      </c>
      <c r="E31" s="9">
        <f>2760.1-500-100+700</f>
        <v>2860.1</v>
      </c>
      <c r="F31" s="9">
        <f>2363.54-200-100+200</f>
        <v>2263.54</v>
      </c>
      <c r="G31" s="9">
        <f>1606.8+7.5</f>
        <v>1614.3</v>
      </c>
      <c r="H31" s="9">
        <f>2417.7-100</f>
        <v>2317.6999999999998</v>
      </c>
      <c r="I31" s="9">
        <f>3148.9-800-100</f>
        <v>2248.9</v>
      </c>
      <c r="J31" s="9">
        <f>2653.5-500-100</f>
        <v>2053.5</v>
      </c>
      <c r="K31" s="9">
        <f>2598.8-400-100</f>
        <v>2098.8000000000002</v>
      </c>
      <c r="L31" s="9">
        <f>3423.9-500-100</f>
        <v>2823.9</v>
      </c>
      <c r="M31" s="9">
        <v>1990.2</v>
      </c>
      <c r="N31" s="9">
        <f>2361.5-200</f>
        <v>2161.5</v>
      </c>
      <c r="O31" s="9">
        <f>3234.10209-500</f>
        <v>2734.1020899999999</v>
      </c>
      <c r="P31" s="8">
        <f t="shared" si="19"/>
        <v>26218.999100000001</v>
      </c>
    </row>
    <row r="32" spans="1:16" s="2" customFormat="1" ht="29.25" customHeight="1">
      <c r="A32" s="44"/>
      <c r="B32" s="45" t="s">
        <v>83</v>
      </c>
      <c r="C32" s="13" t="s">
        <v>88</v>
      </c>
      <c r="D32" s="9">
        <f>5934.336</f>
        <v>5934.3360000000002</v>
      </c>
      <c r="E32" s="9">
        <f>10714.2-6000</f>
        <v>4714.2000000000007</v>
      </c>
      <c r="F32" s="9">
        <f>7118-1000</f>
        <v>6118</v>
      </c>
      <c r="G32" s="9">
        <f>3990+3000</f>
        <v>6990</v>
      </c>
      <c r="H32" s="9">
        <f>2726+3000-2000</f>
        <v>3726</v>
      </c>
      <c r="I32" s="9">
        <f>9684-1347.9-3000-2000</f>
        <v>3336.1000000000004</v>
      </c>
      <c r="J32" s="9">
        <f>6621-1000+5000</f>
        <v>10621</v>
      </c>
      <c r="K32" s="9">
        <f>3488.7+2000+337.09</f>
        <v>5825.79</v>
      </c>
      <c r="L32" s="9">
        <f>5867.8</f>
        <v>5867.8</v>
      </c>
      <c r="M32" s="9">
        <f>6722.9-1000</f>
        <v>5722.9</v>
      </c>
      <c r="N32" s="9">
        <f>6206</f>
        <v>6206</v>
      </c>
      <c r="O32" s="9">
        <f>3234.4+3000+1000+2000*2-5000+250+30.2</f>
        <v>6514.5999999999995</v>
      </c>
      <c r="P32" s="8">
        <f t="shared" si="19"/>
        <v>71576.72600000001</v>
      </c>
    </row>
    <row r="33" spans="1:16" s="2" customFormat="1" ht="29.25" customHeight="1">
      <c r="A33" s="44"/>
      <c r="B33" s="45" t="s">
        <v>84</v>
      </c>
      <c r="C33" s="13" t="s">
        <v>88</v>
      </c>
      <c r="D33" s="9">
        <v>316.26</v>
      </c>
      <c r="E33" s="9">
        <v>316.26</v>
      </c>
      <c r="F33" s="9">
        <v>316.26</v>
      </c>
      <c r="G33" s="9">
        <v>316.26</v>
      </c>
      <c r="H33" s="9">
        <v>316.26</v>
      </c>
      <c r="I33" s="9">
        <v>370.47</v>
      </c>
      <c r="J33" s="9">
        <v>370.47</v>
      </c>
      <c r="K33" s="9">
        <v>370.47</v>
      </c>
      <c r="L33" s="9">
        <v>370.47</v>
      </c>
      <c r="M33" s="9">
        <v>370.47</v>
      </c>
      <c r="N33" s="9">
        <v>370.47</v>
      </c>
      <c r="O33" s="9">
        <v>370.47</v>
      </c>
      <c r="P33" s="8">
        <f t="shared" si="19"/>
        <v>4174.5900000000011</v>
      </c>
    </row>
    <row r="34" spans="1:16" s="2" customFormat="1" ht="14.25" customHeight="1">
      <c r="A34" s="44"/>
      <c r="B34" s="45" t="s">
        <v>85</v>
      </c>
      <c r="C34" s="13" t="s">
        <v>88</v>
      </c>
      <c r="D34" s="9">
        <v>1085.3333299999999</v>
      </c>
      <c r="E34" s="9">
        <v>1085.3333299999999</v>
      </c>
      <c r="F34" s="9">
        <v>1085.3333299999999</v>
      </c>
      <c r="G34" s="9">
        <v>1085.3333299999999</v>
      </c>
      <c r="H34" s="9">
        <v>1085.3333299999999</v>
      </c>
      <c r="I34" s="9">
        <v>1085.3333299999999</v>
      </c>
      <c r="J34" s="9">
        <v>1085.3333299999999</v>
      </c>
      <c r="K34" s="9">
        <v>1085.3333299999999</v>
      </c>
      <c r="L34" s="9">
        <v>1085.3333299999999</v>
      </c>
      <c r="M34" s="9">
        <v>1085.3333299999999</v>
      </c>
      <c r="N34" s="9">
        <v>1085.3333299999999</v>
      </c>
      <c r="O34" s="9">
        <v>1085.3333299999999</v>
      </c>
      <c r="P34" s="8">
        <f t="shared" si="19"/>
        <v>13023.999959999996</v>
      </c>
    </row>
    <row r="35" spans="1:16" s="2" customFormat="1" ht="13.5" customHeight="1">
      <c r="A35" s="44"/>
      <c r="B35" s="45" t="s">
        <v>91</v>
      </c>
      <c r="C35" s="13" t="s">
        <v>88</v>
      </c>
      <c r="D35" s="9">
        <v>1987.644</v>
      </c>
      <c r="E35" s="9">
        <f>111.9+1640.58+38.76602+991.9</f>
        <v>2783.1460200000001</v>
      </c>
      <c r="F35" s="9">
        <f>55.95+1760.97+35.97163+535.95</f>
        <v>2388.8416299999999</v>
      </c>
      <c r="G35" s="9">
        <f>55.95+1234.57+35.9474+969.64</f>
        <v>2296.1073999999999</v>
      </c>
      <c r="H35" s="9">
        <f>55.95+1699.59+28.29919+1228.45+1000</f>
        <v>4012.28919</v>
      </c>
      <c r="I35" s="9">
        <f>55.95+1429.86+25.84401+2553.94</f>
        <v>4065.5940099999998</v>
      </c>
      <c r="J35" s="9">
        <f>55.95+2869.41+9.7742+1393.5</f>
        <v>4328.6341999999995</v>
      </c>
      <c r="K35" s="9">
        <f>55.95+2049.03+1378.93</f>
        <v>3483.91</v>
      </c>
      <c r="L35" s="9">
        <f>55.95+1366.07+30.04367+2396.59</f>
        <v>3848.6536700000001</v>
      </c>
      <c r="M35" s="9">
        <f>55.95+1210.75+35.35516+1868.858</f>
        <v>3170.9131600000001</v>
      </c>
      <c r="N35" s="9">
        <f>55.95+1965.04+35.3799+1943.73+76.3</f>
        <v>4076.3999000000003</v>
      </c>
      <c r="O35" s="9">
        <f>55.875+1847.643+77.77473+4941.27</f>
        <v>6922.5627300000006</v>
      </c>
      <c r="P35" s="8">
        <f t="shared" si="19"/>
        <v>43364.695910000002</v>
      </c>
    </row>
    <row r="36" spans="1:16" s="2" customFormat="1" ht="13.5" customHeight="1">
      <c r="A36" s="44"/>
      <c r="B36" s="45" t="s">
        <v>86</v>
      </c>
      <c r="C36" s="13" t="s">
        <v>88</v>
      </c>
      <c r="D36" s="9">
        <v>200.52286000000001</v>
      </c>
      <c r="E36" s="9">
        <v>198.3</v>
      </c>
      <c r="F36" s="9">
        <v>200.52286000000001</v>
      </c>
      <c r="G36" s="9">
        <v>200.52286000000001</v>
      </c>
      <c r="H36" s="9">
        <v>200.52286000000001</v>
      </c>
      <c r="I36" s="9">
        <v>200.52286000000001</v>
      </c>
      <c r="J36" s="9">
        <f>300.52286+19.953</f>
        <v>320.47585999999995</v>
      </c>
      <c r="K36" s="9">
        <v>326.60000000000002</v>
      </c>
      <c r="L36" s="9">
        <v>319.39999999999998</v>
      </c>
      <c r="M36" s="9">
        <v>326.60000000000002</v>
      </c>
      <c r="N36" s="9">
        <v>319.39999999999998</v>
      </c>
      <c r="O36" s="9">
        <f>327.8+20.283</f>
        <v>348.08300000000003</v>
      </c>
      <c r="P36" s="8">
        <f t="shared" si="19"/>
        <v>3161.4731600000005</v>
      </c>
    </row>
    <row r="37" spans="1:16" s="2" customFormat="1" ht="61.5" customHeight="1">
      <c r="A37" s="44"/>
      <c r="B37" s="45" t="s">
        <v>87</v>
      </c>
      <c r="C37" s="13" t="s">
        <v>88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20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8">
        <f t="shared" si="19"/>
        <v>20</v>
      </c>
    </row>
    <row r="38" spans="1:16" s="2" customFormat="1" ht="14.25" customHeight="1">
      <c r="A38" s="44"/>
      <c r="B38" s="45" t="s">
        <v>105</v>
      </c>
      <c r="C38" s="13" t="s">
        <v>88</v>
      </c>
      <c r="D38" s="9">
        <v>4.5199999999999996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8">
        <f t="shared" si="19"/>
        <v>4.5199999999999996</v>
      </c>
    </row>
    <row r="39" spans="1:16" s="18" customFormat="1" ht="93.75" customHeight="1">
      <c r="A39" s="32" t="s">
        <v>27</v>
      </c>
      <c r="B39" s="40" t="s">
        <v>108</v>
      </c>
      <c r="C39" s="15" t="s">
        <v>88</v>
      </c>
      <c r="D39" s="17">
        <f>SUM(D40:D48)</f>
        <v>3856.4964</v>
      </c>
      <c r="E39" s="17">
        <f t="shared" ref="E39:O39" si="20">SUM(E40:E48)</f>
        <v>15997.321</v>
      </c>
      <c r="F39" s="17">
        <f t="shared" si="20"/>
        <v>18065.53</v>
      </c>
      <c r="G39" s="17">
        <f t="shared" si="20"/>
        <v>17603.924999999999</v>
      </c>
      <c r="H39" s="17">
        <f t="shared" si="20"/>
        <v>17678.8</v>
      </c>
      <c r="I39" s="17">
        <f t="shared" si="20"/>
        <v>36051.370000000003</v>
      </c>
      <c r="J39" s="17">
        <f t="shared" si="20"/>
        <v>17875.625</v>
      </c>
      <c r="K39" s="17">
        <f t="shared" si="20"/>
        <v>12287.2</v>
      </c>
      <c r="L39" s="17">
        <f t="shared" si="20"/>
        <v>8769.7999999999993</v>
      </c>
      <c r="M39" s="17">
        <f t="shared" si="20"/>
        <v>17343.524999999998</v>
      </c>
      <c r="N39" s="17">
        <f t="shared" si="20"/>
        <v>17103.399999999998</v>
      </c>
      <c r="O39" s="17">
        <f t="shared" si="20"/>
        <v>29989.879000000001</v>
      </c>
      <c r="P39" s="46">
        <f t="shared" ref="P39:P48" si="21">SUM(D39:O39)</f>
        <v>212622.8714</v>
      </c>
    </row>
    <row r="40" spans="1:16" s="2" customFormat="1" ht="30" customHeight="1">
      <c r="A40" s="44"/>
      <c r="B40" s="45" t="s">
        <v>81</v>
      </c>
      <c r="C40" s="13" t="s">
        <v>88</v>
      </c>
      <c r="D40" s="9">
        <f>3489.3334</f>
        <v>3489.3334</v>
      </c>
      <c r="E40" s="9">
        <f>16495-1300</f>
        <v>15195</v>
      </c>
      <c r="F40" s="9">
        <f>14706.63+1000</f>
        <v>15706.63</v>
      </c>
      <c r="G40" s="9">
        <f>14635.5+1000</f>
        <v>15635.5</v>
      </c>
      <c r="H40" s="9">
        <v>16099.4</v>
      </c>
      <c r="I40" s="9">
        <f>31185.6-3000</f>
        <v>28185.599999999999</v>
      </c>
      <c r="J40" s="9">
        <f>12010.7-1000</f>
        <v>11010.7</v>
      </c>
      <c r="K40" s="9">
        <v>5717.8</v>
      </c>
      <c r="L40" s="9">
        <f>7572.6-474.3</f>
        <v>7098.3</v>
      </c>
      <c r="M40" s="9">
        <f>13282.6+2000</f>
        <v>15282.6</v>
      </c>
      <c r="N40" s="9">
        <f>14313.4+1000</f>
        <v>15313.4</v>
      </c>
      <c r="O40" s="9">
        <f>31338.2-3700-1087</f>
        <v>26551.200000000001</v>
      </c>
      <c r="P40" s="8">
        <f t="shared" si="21"/>
        <v>175285.46340000001</v>
      </c>
    </row>
    <row r="41" spans="1:16" s="2" customFormat="1" ht="30" customHeight="1">
      <c r="A41" s="44"/>
      <c r="B41" s="45" t="s">
        <v>82</v>
      </c>
      <c r="C41" s="13" t="s">
        <v>88</v>
      </c>
      <c r="D41" s="9">
        <v>0</v>
      </c>
      <c r="E41" s="9">
        <f>21.6*3</f>
        <v>64.800000000000011</v>
      </c>
      <c r="F41" s="9">
        <f>38.5*4</f>
        <v>154</v>
      </c>
      <c r="G41" s="9">
        <f>32.6*4</f>
        <v>130.4</v>
      </c>
      <c r="H41" s="9">
        <f>66.7+4</f>
        <v>70.7</v>
      </c>
      <c r="I41" s="9">
        <f>22.5*4</f>
        <v>90</v>
      </c>
      <c r="J41" s="9">
        <f>28.7*4</f>
        <v>114.8</v>
      </c>
      <c r="K41" s="9">
        <f>42.2*4</f>
        <v>168.8</v>
      </c>
      <c r="L41" s="9">
        <f>41.7*4</f>
        <v>166.8</v>
      </c>
      <c r="M41" s="9">
        <f>72.2*4</f>
        <v>288.8</v>
      </c>
      <c r="N41" s="9">
        <f>58.7*4</f>
        <v>234.8</v>
      </c>
      <c r="O41" s="9">
        <f>83.3*3+30.55</f>
        <v>280.45</v>
      </c>
      <c r="P41" s="8">
        <f t="shared" si="21"/>
        <v>1764.35</v>
      </c>
    </row>
    <row r="42" spans="1:16" s="2" customFormat="1" ht="30" customHeight="1">
      <c r="A42" s="44"/>
      <c r="B42" s="45" t="s">
        <v>83</v>
      </c>
      <c r="C42" s="13" t="s">
        <v>88</v>
      </c>
      <c r="D42" s="9">
        <v>6</v>
      </c>
      <c r="E42" s="9">
        <f>325+2.521</f>
        <v>327.52100000000002</v>
      </c>
      <c r="F42" s="9">
        <f>974.2+150</f>
        <v>1124.2</v>
      </c>
      <c r="G42" s="9">
        <f>562.9+150</f>
        <v>712.9</v>
      </c>
      <c r="H42" s="9">
        <f>391+150</f>
        <v>541</v>
      </c>
      <c r="I42" s="9">
        <f>595.1+150+1401.5133+14.1567</f>
        <v>2160.77</v>
      </c>
      <c r="J42" s="9">
        <f>205+1000+150</f>
        <v>1355</v>
      </c>
      <c r="K42" s="9">
        <f>187+1800+150</f>
        <v>2137</v>
      </c>
      <c r="L42" s="9">
        <f>386.9+250</f>
        <v>636.9</v>
      </c>
      <c r="M42" s="9">
        <f>358.7+250</f>
        <v>608.70000000000005</v>
      </c>
      <c r="N42" s="9">
        <f>453.6+150</f>
        <v>603.6</v>
      </c>
      <c r="O42" s="9">
        <f>871.2+403.25+5-2.521-30.2</f>
        <v>1246.729</v>
      </c>
      <c r="P42" s="8">
        <f t="shared" si="21"/>
        <v>11460.32</v>
      </c>
    </row>
    <row r="43" spans="1:16" s="2" customFormat="1" ht="30" customHeight="1">
      <c r="A43" s="44"/>
      <c r="B43" s="45" t="s">
        <v>89</v>
      </c>
      <c r="C43" s="13" t="s">
        <v>88</v>
      </c>
      <c r="D43" s="9">
        <v>23.238</v>
      </c>
      <c r="E43" s="9">
        <v>410</v>
      </c>
      <c r="F43" s="9">
        <v>1080.7</v>
      </c>
      <c r="G43" s="9">
        <v>787.2</v>
      </c>
      <c r="H43" s="9">
        <v>967.7</v>
      </c>
      <c r="I43" s="9">
        <v>660.9</v>
      </c>
      <c r="J43" s="9">
        <v>567.20000000000005</v>
      </c>
      <c r="K43" s="9">
        <v>718.9</v>
      </c>
      <c r="L43" s="9">
        <v>867.8</v>
      </c>
      <c r="M43" s="9">
        <v>825.5</v>
      </c>
      <c r="N43" s="9">
        <v>951.6</v>
      </c>
      <c r="O43" s="9">
        <f>1899.3+12.2</f>
        <v>1911.5</v>
      </c>
      <c r="P43" s="8">
        <f t="shared" si="21"/>
        <v>9772.2380000000012</v>
      </c>
    </row>
    <row r="44" spans="1:16" s="2" customFormat="1" ht="15" customHeight="1">
      <c r="A44" s="44"/>
      <c r="B44" s="45" t="s">
        <v>90</v>
      </c>
      <c r="C44" s="13" t="s">
        <v>88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1754.1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8">
        <f t="shared" si="21"/>
        <v>1754.1</v>
      </c>
    </row>
    <row r="45" spans="1:16" s="2" customFormat="1" ht="15" customHeight="1">
      <c r="A45" s="44"/>
      <c r="B45" s="45" t="s">
        <v>85</v>
      </c>
      <c r="C45" s="13" t="s">
        <v>88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8">
        <f t="shared" si="21"/>
        <v>0</v>
      </c>
    </row>
    <row r="46" spans="1:16" s="2" customFormat="1" ht="15" customHeight="1">
      <c r="A46" s="44"/>
      <c r="B46" s="45" t="s">
        <v>92</v>
      </c>
      <c r="C46" s="13" t="s">
        <v>88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1390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8">
        <f t="shared" si="21"/>
        <v>1390</v>
      </c>
    </row>
    <row r="47" spans="1:16" s="2" customFormat="1" ht="15" customHeight="1">
      <c r="A47" s="44"/>
      <c r="B47" s="45" t="s">
        <v>93</v>
      </c>
      <c r="C47" s="13" t="s">
        <v>88</v>
      </c>
      <c r="D47" s="9">
        <v>337.92500000000001</v>
      </c>
      <c r="E47" s="9">
        <v>0</v>
      </c>
      <c r="F47" s="9">
        <v>0</v>
      </c>
      <c r="G47" s="9">
        <v>337.92500000000001</v>
      </c>
      <c r="H47" s="9">
        <v>0</v>
      </c>
      <c r="I47" s="9">
        <v>0</v>
      </c>
      <c r="J47" s="9">
        <v>337.92500000000001</v>
      </c>
      <c r="K47" s="9">
        <v>16</v>
      </c>
      <c r="L47" s="9">
        <v>0</v>
      </c>
      <c r="M47" s="9">
        <v>337.92500000000001</v>
      </c>
      <c r="N47" s="9">
        <v>0</v>
      </c>
      <c r="O47" s="9">
        <v>0</v>
      </c>
      <c r="P47" s="8">
        <f t="shared" si="21"/>
        <v>1367.7</v>
      </c>
    </row>
    <row r="48" spans="1:16" s="2" customFormat="1" ht="15" customHeight="1">
      <c r="A48" s="44"/>
      <c r="B48" s="45" t="s">
        <v>91</v>
      </c>
      <c r="C48" s="13" t="s">
        <v>88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3200</v>
      </c>
      <c r="J48" s="9">
        <v>3100</v>
      </c>
      <c r="K48" s="9">
        <v>3528.7</v>
      </c>
      <c r="L48" s="9">
        <v>0</v>
      </c>
      <c r="M48" s="9">
        <v>0</v>
      </c>
      <c r="N48" s="9">
        <v>0</v>
      </c>
      <c r="O48" s="9">
        <v>0</v>
      </c>
      <c r="P48" s="8">
        <f t="shared" si="21"/>
        <v>9828.7000000000007</v>
      </c>
    </row>
    <row r="49" spans="1:16" s="2" customFormat="1" ht="19.5" customHeight="1">
      <c r="A49" s="44"/>
      <c r="B49" s="45" t="s">
        <v>23</v>
      </c>
      <c r="C49" s="13" t="s">
        <v>88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8">
        <f t="shared" si="16"/>
        <v>0</v>
      </c>
    </row>
    <row r="50" spans="1:16" s="18" customFormat="1" ht="16.5" customHeight="1">
      <c r="A50" s="32" t="s">
        <v>28</v>
      </c>
      <c r="B50" s="36" t="s">
        <v>29</v>
      </c>
      <c r="C50" s="15" t="s">
        <v>88</v>
      </c>
      <c r="D50" s="17">
        <f>0+D9-D28</f>
        <v>863.26108000000022</v>
      </c>
      <c r="E50" s="17">
        <f>D50+E9-E28+0.1</f>
        <v>162.09244999999063</v>
      </c>
      <c r="F50" s="17">
        <f>E50+F9-F28</f>
        <v>210.372709999996</v>
      </c>
      <c r="G50" s="17">
        <f>F50+G9-G28-0.1</f>
        <v>210.56144999999233</v>
      </c>
      <c r="H50" s="17">
        <f>G50+H9-H28</f>
        <v>158.79039999999077</v>
      </c>
      <c r="I50" s="17">
        <f>H50+I9-I28</f>
        <v>1559.0655299999853</v>
      </c>
      <c r="J50" s="17">
        <f>I50+J9-J28</f>
        <v>15361.101469999987</v>
      </c>
      <c r="K50" s="17">
        <f>J50+K9-K28</f>
        <v>15072.257469999982</v>
      </c>
      <c r="L50" s="17">
        <f t="shared" ref="L50:N50" si="22">K50+L9-L28</f>
        <v>9751.2027999999773</v>
      </c>
      <c r="M50" s="17">
        <f t="shared" si="22"/>
        <v>6071.4146399999881</v>
      </c>
      <c r="N50" s="17">
        <f t="shared" si="22"/>
        <v>900.11055999998644</v>
      </c>
      <c r="O50" s="17">
        <f>N50+O9-O28+0.1</f>
        <v>-11233.161770000019</v>
      </c>
      <c r="P50" s="46">
        <f>P9-P28+0.1</f>
        <v>-11233.161769999982</v>
      </c>
    </row>
    <row r="51" spans="1:16" s="18" customFormat="1" ht="16.5" customHeight="1">
      <c r="A51" s="32" t="s">
        <v>30</v>
      </c>
      <c r="B51" s="36" t="s">
        <v>31</v>
      </c>
      <c r="C51" s="15"/>
      <c r="D51" s="25">
        <f t="shared" ref="D51:I51" si="23">D52-D58+D64</f>
        <v>-863.26108000000022</v>
      </c>
      <c r="E51" s="25">
        <f t="shared" si="23"/>
        <v>701.26863000000594</v>
      </c>
      <c r="F51" s="25">
        <f t="shared" si="23"/>
        <v>-48.28026000000682</v>
      </c>
      <c r="G51" s="25">
        <f t="shared" si="23"/>
        <v>-0.2887399999963236</v>
      </c>
      <c r="H51" s="25">
        <f t="shared" si="23"/>
        <v>51.771050000003015</v>
      </c>
      <c r="I51" s="25">
        <f t="shared" si="23"/>
        <v>-1400.2751299999945</v>
      </c>
      <c r="J51" s="25">
        <f>J52-J58+J64</f>
        <v>-13802.035940000002</v>
      </c>
      <c r="K51" s="25">
        <f t="shared" ref="K51:P51" si="24">K52-K58+K64</f>
        <v>-13513.191940000001</v>
      </c>
      <c r="L51" s="25">
        <f t="shared" si="24"/>
        <v>-8192.1372699999956</v>
      </c>
      <c r="M51" s="25">
        <f t="shared" si="24"/>
        <v>-4512.3491100000065</v>
      </c>
      <c r="N51" s="25">
        <f t="shared" si="24"/>
        <v>658.95496999999887</v>
      </c>
      <c r="O51" s="25">
        <f t="shared" si="24"/>
        <v>12792.327300000004</v>
      </c>
      <c r="P51" s="51">
        <f t="shared" si="24"/>
        <v>11233.161769999982</v>
      </c>
    </row>
    <row r="52" spans="1:16" s="18" customFormat="1" ht="31.5" customHeight="1">
      <c r="A52" s="32" t="s">
        <v>32</v>
      </c>
      <c r="B52" s="36" t="s">
        <v>33</v>
      </c>
      <c r="C52" s="15"/>
      <c r="D52" s="17">
        <f>D53+D54+D55+D56+D57</f>
        <v>0</v>
      </c>
      <c r="E52" s="17">
        <f t="shared" ref="E52:O52" si="25">E53+E54+E55+E56+E57</f>
        <v>0</v>
      </c>
      <c r="F52" s="17">
        <f t="shared" si="25"/>
        <v>0</v>
      </c>
      <c r="G52" s="17">
        <f t="shared" si="25"/>
        <v>0</v>
      </c>
      <c r="H52" s="17">
        <f t="shared" si="25"/>
        <v>0</v>
      </c>
      <c r="I52" s="17">
        <f t="shared" si="25"/>
        <v>0</v>
      </c>
      <c r="J52" s="17">
        <f t="shared" si="25"/>
        <v>36323</v>
      </c>
      <c r="K52" s="17">
        <f t="shared" si="25"/>
        <v>0</v>
      </c>
      <c r="L52" s="17">
        <f t="shared" si="25"/>
        <v>0</v>
      </c>
      <c r="M52" s="17">
        <f t="shared" si="25"/>
        <v>0</v>
      </c>
      <c r="N52" s="17">
        <f t="shared" si="25"/>
        <v>0</v>
      </c>
      <c r="O52" s="17">
        <f t="shared" si="25"/>
        <v>0</v>
      </c>
      <c r="P52" s="46">
        <f t="shared" si="16"/>
        <v>36323</v>
      </c>
    </row>
    <row r="53" spans="1:16" s="2" customFormat="1" ht="46.5" customHeight="1">
      <c r="A53" s="31"/>
      <c r="B53" s="38" t="s">
        <v>34</v>
      </c>
      <c r="C53" s="13" t="s">
        <v>35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8">
        <f t="shared" si="16"/>
        <v>0</v>
      </c>
    </row>
    <row r="54" spans="1:16" s="2" customFormat="1" ht="29.25" customHeight="1">
      <c r="A54" s="31"/>
      <c r="B54" s="38" t="s">
        <v>36</v>
      </c>
      <c r="C54" s="13" t="s">
        <v>37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36323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8">
        <f t="shared" si="16"/>
        <v>36323</v>
      </c>
    </row>
    <row r="55" spans="1:16" s="2" customFormat="1" ht="47.25" customHeight="1">
      <c r="A55" s="31"/>
      <c r="B55" s="38" t="s">
        <v>38</v>
      </c>
      <c r="C55" s="13" t="s">
        <v>39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8">
        <f t="shared" si="16"/>
        <v>0</v>
      </c>
    </row>
    <row r="56" spans="1:16" s="2" customFormat="1" ht="46.5" customHeight="1">
      <c r="A56" s="31"/>
      <c r="B56" s="38" t="s">
        <v>40</v>
      </c>
      <c r="C56" s="13" t="s">
        <v>76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8">
        <f t="shared" ref="P56:P57" si="26">SUM(D56:O56)</f>
        <v>0</v>
      </c>
    </row>
    <row r="57" spans="1:16" s="2" customFormat="1" ht="35.25" customHeight="1">
      <c r="A57" s="31"/>
      <c r="B57" s="38" t="s">
        <v>41</v>
      </c>
      <c r="C57" s="13" t="s">
        <v>42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8">
        <f t="shared" si="26"/>
        <v>0</v>
      </c>
    </row>
    <row r="58" spans="1:16" s="18" customFormat="1" ht="29.25" customHeight="1">
      <c r="A58" s="32" t="s">
        <v>43</v>
      </c>
      <c r="B58" s="36" t="s">
        <v>44</v>
      </c>
      <c r="C58" s="15"/>
      <c r="D58" s="17">
        <f>D59+D60+D61+D62+D63</f>
        <v>0</v>
      </c>
      <c r="E58" s="17">
        <f t="shared" ref="E58:O58" si="27">E59+E60+E61+E62+E63</f>
        <v>0</v>
      </c>
      <c r="F58" s="17">
        <f t="shared" si="27"/>
        <v>0</v>
      </c>
      <c r="G58" s="17">
        <f t="shared" si="27"/>
        <v>0</v>
      </c>
      <c r="H58" s="17">
        <f t="shared" si="27"/>
        <v>0</v>
      </c>
      <c r="I58" s="17">
        <f t="shared" si="27"/>
        <v>0</v>
      </c>
      <c r="J58" s="17">
        <f t="shared" si="27"/>
        <v>36323</v>
      </c>
      <c r="K58" s="17">
        <f t="shared" si="27"/>
        <v>0</v>
      </c>
      <c r="L58" s="17">
        <f t="shared" si="27"/>
        <v>0</v>
      </c>
      <c r="M58" s="17">
        <f t="shared" si="27"/>
        <v>0</v>
      </c>
      <c r="N58" s="17">
        <v>0</v>
      </c>
      <c r="O58" s="17">
        <f t="shared" si="27"/>
        <v>0</v>
      </c>
      <c r="P58" s="46">
        <f t="shared" si="16"/>
        <v>36323</v>
      </c>
    </row>
    <row r="59" spans="1:16" s="2" customFormat="1" ht="45.75" customHeight="1">
      <c r="A59" s="31"/>
      <c r="B59" s="38" t="s">
        <v>45</v>
      </c>
      <c r="C59" s="13" t="s">
        <v>46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8">
        <f t="shared" ref="P59" si="28">SUM(D59:O59)</f>
        <v>0</v>
      </c>
    </row>
    <row r="60" spans="1:16" s="2" customFormat="1" ht="31.5" customHeight="1">
      <c r="A60" s="31"/>
      <c r="B60" s="38" t="s">
        <v>47</v>
      </c>
      <c r="C60" s="13" t="s">
        <v>48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36323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8">
        <f t="shared" si="16"/>
        <v>36323</v>
      </c>
    </row>
    <row r="61" spans="1:16" s="2" customFormat="1" ht="31.5" customHeight="1">
      <c r="A61" s="31"/>
      <c r="B61" s="38" t="s">
        <v>49</v>
      </c>
      <c r="C61" s="13" t="s">
        <v>50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8">
        <f t="shared" si="16"/>
        <v>0</v>
      </c>
    </row>
    <row r="62" spans="1:16" s="2" customFormat="1" ht="31.5" customHeight="1">
      <c r="A62" s="31"/>
      <c r="B62" s="38" t="s">
        <v>51</v>
      </c>
      <c r="C62" s="13" t="s">
        <v>52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8">
        <f t="shared" ref="P62:P63" si="29">SUM(D62:O62)</f>
        <v>0</v>
      </c>
    </row>
    <row r="63" spans="1:16" s="2" customFormat="1" ht="31.5" customHeight="1">
      <c r="A63" s="31"/>
      <c r="B63" s="38" t="s">
        <v>53</v>
      </c>
      <c r="C63" s="13" t="s">
        <v>54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8">
        <f t="shared" si="29"/>
        <v>0</v>
      </c>
    </row>
    <row r="64" spans="1:16" s="18" customFormat="1" ht="17.25" customHeight="1">
      <c r="A64" s="32" t="s">
        <v>55</v>
      </c>
      <c r="B64" s="36" t="s">
        <v>56</v>
      </c>
      <c r="C64" s="15"/>
      <c r="D64" s="17">
        <f t="shared" ref="D64:I64" si="30">(D61+D60+D59+D57+D28)-(D55+D54+D53+D9)</f>
        <v>-863.26108000000022</v>
      </c>
      <c r="E64" s="17">
        <f t="shared" si="30"/>
        <v>701.26863000000594</v>
      </c>
      <c r="F64" s="17">
        <f t="shared" si="30"/>
        <v>-48.28026000000682</v>
      </c>
      <c r="G64" s="17">
        <f t="shared" si="30"/>
        <v>-0.2887399999963236</v>
      </c>
      <c r="H64" s="17">
        <f t="shared" si="30"/>
        <v>51.771050000003015</v>
      </c>
      <c r="I64" s="17">
        <f t="shared" si="30"/>
        <v>-1400.2751299999945</v>
      </c>
      <c r="J64" s="17">
        <f>(J61+J60+J59+J57+J28)-(J55+J54+J53+J9)</f>
        <v>-13802.035940000002</v>
      </c>
      <c r="K64" s="17">
        <f>J64+(K61+K60+K59+K57+K28)-(K55+K54+K53+K9)</f>
        <v>-13513.191940000001</v>
      </c>
      <c r="L64" s="17">
        <f t="shared" ref="L64:O64" si="31">K64+(L61+L60+L59+L57+L28)-(L55+L54+L53+L9)</f>
        <v>-8192.1372699999956</v>
      </c>
      <c r="M64" s="17">
        <f t="shared" si="31"/>
        <v>-4512.3491100000065</v>
      </c>
      <c r="N64" s="17">
        <f t="shared" si="31"/>
        <v>658.95496999999887</v>
      </c>
      <c r="O64" s="17">
        <f t="shared" si="31"/>
        <v>12792.327300000004</v>
      </c>
      <c r="P64" s="46">
        <f>(P61+P60+P59+P57+P28)-(P55+P54+P53+P9)-0.1</f>
        <v>11233.161769999982</v>
      </c>
    </row>
    <row r="65" spans="1:16" s="16" customFormat="1" ht="17.25" customHeight="1">
      <c r="A65" s="32" t="s">
        <v>57</v>
      </c>
      <c r="B65" s="36" t="s">
        <v>58</v>
      </c>
      <c r="C65" s="15"/>
      <c r="D65" s="17">
        <v>665.57659000000001</v>
      </c>
      <c r="E65" s="17">
        <f>D66</f>
        <v>1528.8376700000008</v>
      </c>
      <c r="F65" s="17">
        <f t="shared" ref="F65:P65" si="32">E66</f>
        <v>827.56903999999486</v>
      </c>
      <c r="G65" s="17">
        <f t="shared" si="32"/>
        <v>875.84930000000168</v>
      </c>
      <c r="H65" s="17">
        <f t="shared" si="32"/>
        <v>876.138039999998</v>
      </c>
      <c r="I65" s="17">
        <f t="shared" si="32"/>
        <v>824.36698999999498</v>
      </c>
      <c r="J65" s="17">
        <f t="shared" si="32"/>
        <v>2224.6421199999895</v>
      </c>
      <c r="K65" s="17">
        <f t="shared" si="32"/>
        <v>16026.678059999991</v>
      </c>
      <c r="L65" s="17">
        <f t="shared" si="32"/>
        <v>15737.834059999994</v>
      </c>
      <c r="M65" s="17">
        <f t="shared" si="32"/>
        <v>10416.779389999989</v>
      </c>
      <c r="N65" s="17">
        <f t="shared" si="32"/>
        <v>6736.9912299999996</v>
      </c>
      <c r="O65" s="17">
        <f t="shared" si="32"/>
        <v>1565.6871499999979</v>
      </c>
      <c r="P65" s="17">
        <f>D65</f>
        <v>665.57659000000001</v>
      </c>
    </row>
    <row r="66" spans="1:16" s="16" customFormat="1" ht="17.25" customHeight="1">
      <c r="A66" s="32" t="s">
        <v>59</v>
      </c>
      <c r="B66" s="36" t="s">
        <v>60</v>
      </c>
      <c r="C66" s="15"/>
      <c r="D66" s="17">
        <f>D65+D9-D28</f>
        <v>1528.8376700000008</v>
      </c>
      <c r="E66" s="17">
        <f>E65+E9-E28</f>
        <v>827.56903999999486</v>
      </c>
      <c r="F66" s="17">
        <f t="shared" ref="F66:P66" si="33">F65+F9-F28</f>
        <v>875.84930000000168</v>
      </c>
      <c r="G66" s="17">
        <f t="shared" si="33"/>
        <v>876.138039999998</v>
      </c>
      <c r="H66" s="17">
        <f t="shared" si="33"/>
        <v>824.36698999999498</v>
      </c>
      <c r="I66" s="17">
        <f t="shared" si="33"/>
        <v>2224.6421199999895</v>
      </c>
      <c r="J66" s="17">
        <f t="shared" si="33"/>
        <v>16026.678059999991</v>
      </c>
      <c r="K66" s="17">
        <f t="shared" si="33"/>
        <v>15737.834059999994</v>
      </c>
      <c r="L66" s="17">
        <f t="shared" si="33"/>
        <v>10416.779389999989</v>
      </c>
      <c r="M66" s="17">
        <f t="shared" si="33"/>
        <v>6736.9912299999996</v>
      </c>
      <c r="N66" s="17">
        <f t="shared" si="33"/>
        <v>1565.6871499999979</v>
      </c>
      <c r="O66" s="17">
        <f t="shared" si="33"/>
        <v>-10567.685180000008</v>
      </c>
      <c r="P66" s="17">
        <f>P65+P9-P28</f>
        <v>-10567.685179999971</v>
      </c>
    </row>
    <row r="67" spans="1:16" s="18" customFormat="1" ht="35.1" customHeight="1" thickBot="1">
      <c r="A67" s="33" t="s">
        <v>61</v>
      </c>
      <c r="B67" s="41" t="s">
        <v>62</v>
      </c>
      <c r="C67" s="26"/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61">
        <f t="shared" si="16"/>
        <v>0</v>
      </c>
    </row>
    <row r="68" spans="1:16" ht="8.25" customHeight="1">
      <c r="B68" s="2"/>
      <c r="C68" s="2"/>
      <c r="E68" s="2"/>
      <c r="F68" s="2"/>
      <c r="G68" s="2"/>
    </row>
    <row r="69" spans="1:16" ht="18.75" customHeight="1">
      <c r="B69" s="56" t="s">
        <v>79</v>
      </c>
      <c r="C69" s="56"/>
      <c r="D69" s="56"/>
      <c r="E69" s="56"/>
      <c r="F69" s="56"/>
      <c r="G69" s="56"/>
      <c r="H69" s="56"/>
      <c r="I69" s="56"/>
    </row>
    <row r="70" spans="1:16" s="7" customFormat="1" ht="12.75">
      <c r="B70" s="57" t="s">
        <v>107</v>
      </c>
      <c r="C70" s="57"/>
      <c r="D70" s="57"/>
      <c r="E70" s="57"/>
      <c r="F70" s="57"/>
      <c r="G70" s="57"/>
      <c r="H70" s="57"/>
      <c r="I70" s="57"/>
      <c r="P70" s="14"/>
    </row>
    <row r="71" spans="1:16" s="7" customFormat="1" ht="13.5" customHeight="1">
      <c r="B71" s="57" t="s">
        <v>80</v>
      </c>
      <c r="C71" s="57"/>
      <c r="D71" s="57"/>
      <c r="E71" s="57"/>
      <c r="F71" s="57"/>
      <c r="G71" s="57"/>
      <c r="H71" s="57"/>
      <c r="I71" s="57"/>
      <c r="P71" s="14"/>
    </row>
    <row r="72" spans="1:16" ht="18.75">
      <c r="B72" s="56"/>
      <c r="C72" s="56"/>
      <c r="D72" s="56"/>
      <c r="E72" s="56"/>
      <c r="F72" s="56"/>
      <c r="G72" s="56"/>
      <c r="H72" s="56"/>
      <c r="I72" s="56"/>
    </row>
  </sheetData>
  <mergeCells count="12">
    <mergeCell ref="I1:P1"/>
    <mergeCell ref="I3:P3"/>
    <mergeCell ref="B72:I72"/>
    <mergeCell ref="B69:I69"/>
    <mergeCell ref="B70:I70"/>
    <mergeCell ref="B71:I71"/>
    <mergeCell ref="A5:P5"/>
    <mergeCell ref="A19:A21"/>
    <mergeCell ref="A23:A26"/>
    <mergeCell ref="B23:B26"/>
    <mergeCell ref="I2:P2"/>
    <mergeCell ref="I4:P4"/>
  </mergeCells>
  <pageMargins left="0.70866141732283472" right="0.70866141732283472" top="0.74803149606299213" bottom="0.74803149606299213" header="0" footer="0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2023-02-20T09:26:21Z</cp:lastPrinted>
  <dcterms:created xsi:type="dcterms:W3CDTF">2022-09-28T12:50:16Z</dcterms:created>
  <dcterms:modified xsi:type="dcterms:W3CDTF">2023-02-20T09:26:24Z</dcterms:modified>
</cp:coreProperties>
</file>