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запрос!$A$1:$P$77</definedName>
  </definedNames>
  <calcPr calcId="124519"/>
</workbook>
</file>

<file path=xl/calcChain.xml><?xml version="1.0" encoding="utf-8"?>
<calcChain xmlns="http://schemas.openxmlformats.org/spreadsheetml/2006/main">
  <c r="O34" i="2"/>
  <c r="N22"/>
  <c r="M47"/>
  <c r="L22"/>
  <c r="K22"/>
  <c r="K47"/>
  <c r="J22"/>
  <c r="I22"/>
  <c r="H22"/>
  <c r="G22"/>
  <c r="F22"/>
  <c r="BB32"/>
  <c r="BA32"/>
  <c r="BA20"/>
  <c r="N34"/>
  <c r="M34"/>
  <c r="M11"/>
  <c r="L34"/>
  <c r="K34"/>
  <c r="J34"/>
  <c r="J11"/>
  <c r="I34"/>
  <c r="I11"/>
  <c r="H34"/>
  <c r="H11"/>
  <c r="G34"/>
  <c r="G32"/>
  <c r="F39"/>
  <c r="BA31"/>
  <c r="E33"/>
  <c r="E39"/>
  <c r="BC10"/>
  <c r="E22"/>
  <c r="D32"/>
  <c r="D33"/>
  <c r="D34"/>
  <c r="D22"/>
  <c r="O47" l="1"/>
  <c r="O43"/>
  <c r="O49"/>
  <c r="F52"/>
  <c r="I52" s="1"/>
  <c r="L52" s="1"/>
  <c r="O52" s="1"/>
  <c r="O45"/>
  <c r="O46"/>
  <c r="O48"/>
  <c r="O51"/>
  <c r="O54"/>
  <c r="O32"/>
  <c r="O33"/>
  <c r="O35"/>
  <c r="O36"/>
  <c r="O38"/>
  <c r="O37"/>
  <c r="O39"/>
  <c r="O40"/>
  <c r="O42"/>
  <c r="L11"/>
  <c r="K11"/>
  <c r="G11"/>
  <c r="F11"/>
  <c r="E11"/>
  <c r="O21"/>
  <c r="N11" l="1"/>
  <c r="N21" l="1"/>
  <c r="M21"/>
  <c r="L21"/>
  <c r="K21"/>
  <c r="J21"/>
  <c r="I21"/>
  <c r="H21"/>
  <c r="G21"/>
  <c r="E21"/>
  <c r="O18" l="1"/>
  <c r="N16"/>
  <c r="M16"/>
  <c r="L16"/>
  <c r="K16"/>
  <c r="J16"/>
  <c r="I16"/>
  <c r="G16"/>
  <c r="H16"/>
  <c r="F16"/>
  <c r="E16"/>
  <c r="D16"/>
  <c r="N15"/>
  <c r="M15"/>
  <c r="L15"/>
  <c r="K15"/>
  <c r="J15"/>
  <c r="I15"/>
  <c r="H15"/>
  <c r="G15"/>
  <c r="F15"/>
  <c r="E15"/>
  <c r="N14"/>
  <c r="M14"/>
  <c r="L14"/>
  <c r="K14"/>
  <c r="J14"/>
  <c r="I14"/>
  <c r="H14"/>
  <c r="G14"/>
  <c r="F14"/>
  <c r="E14"/>
  <c r="D14"/>
  <c r="M22" l="1"/>
  <c r="N31"/>
  <c r="N44"/>
  <c r="M31"/>
  <c r="M44"/>
  <c r="O22" l="1"/>
  <c r="N30"/>
  <c r="K64"/>
  <c r="L64"/>
  <c r="M64"/>
  <c r="N64"/>
  <c r="O64"/>
  <c r="D64"/>
  <c r="E64"/>
  <c r="F64"/>
  <c r="G64"/>
  <c r="H64"/>
  <c r="I64"/>
  <c r="D13" l="1"/>
  <c r="P17"/>
  <c r="L44" l="1"/>
  <c r="E44"/>
  <c r="F44"/>
  <c r="G44"/>
  <c r="H44"/>
  <c r="I44"/>
  <c r="P54"/>
  <c r="K44" l="1"/>
  <c r="D10" l="1"/>
  <c r="O11" l="1"/>
  <c r="P52"/>
  <c r="P71" l="1"/>
  <c r="E31" l="1"/>
  <c r="BB31" s="1"/>
  <c r="G31"/>
  <c r="BD31" s="1"/>
  <c r="H31"/>
  <c r="I31"/>
  <c r="J31"/>
  <c r="K31"/>
  <c r="L31"/>
  <c r="O50" l="1"/>
  <c r="P36" l="1"/>
  <c r="F31" l="1"/>
  <c r="BC31" s="1"/>
  <c r="P43"/>
  <c r="P38"/>
  <c r="D20" l="1"/>
  <c r="BA13"/>
  <c r="D12" l="1"/>
  <c r="P19" l="1"/>
  <c r="O16" l="1"/>
  <c r="O15"/>
  <c r="F21"/>
  <c r="AQ9"/>
  <c r="AR9"/>
  <c r="AS9"/>
  <c r="AT9"/>
  <c r="AU9"/>
  <c r="AV9"/>
  <c r="AW9"/>
  <c r="AQ12"/>
  <c r="AR12"/>
  <c r="AS12"/>
  <c r="AT12"/>
  <c r="AU12"/>
  <c r="AV12"/>
  <c r="AW12"/>
  <c r="AX9"/>
  <c r="AY9"/>
  <c r="E20" l="1"/>
  <c r="BB20" s="1"/>
  <c r="E13"/>
  <c r="E10" s="1"/>
  <c r="F20"/>
  <c r="BC32" s="1"/>
  <c r="P18"/>
  <c r="BB66" l="1"/>
  <c r="E12"/>
  <c r="BC66"/>
  <c r="F13"/>
  <c r="BC20"/>
  <c r="BB13"/>
  <c r="D31"/>
  <c r="G20" l="1"/>
  <c r="F12"/>
  <c r="F10"/>
  <c r="G13"/>
  <c r="H20"/>
  <c r="BE32" s="1"/>
  <c r="D44"/>
  <c r="BA66" s="1"/>
  <c r="BC13"/>
  <c r="J44"/>
  <c r="BD66" l="1"/>
  <c r="BD32"/>
  <c r="BE20"/>
  <c r="BD20"/>
  <c r="AH12"/>
  <c r="H13"/>
  <c r="BE66"/>
  <c r="I20"/>
  <c r="BF32" s="1"/>
  <c r="G12"/>
  <c r="BD12" s="1"/>
  <c r="G10"/>
  <c r="BD13"/>
  <c r="AG12"/>
  <c r="AF12"/>
  <c r="K20" l="1"/>
  <c r="BF66"/>
  <c r="H12"/>
  <c r="H10"/>
  <c r="BE31" s="1"/>
  <c r="BE13"/>
  <c r="I13"/>
  <c r="BF20"/>
  <c r="AI12"/>
  <c r="J20"/>
  <c r="BG32" s="1"/>
  <c r="P16"/>
  <c r="AK12" l="1"/>
  <c r="BH32"/>
  <c r="BH66"/>
  <c r="L20"/>
  <c r="BI32" s="1"/>
  <c r="J13"/>
  <c r="BG66"/>
  <c r="AJ12"/>
  <c r="I10"/>
  <c r="BF13"/>
  <c r="BE12"/>
  <c r="BG20"/>
  <c r="BH20"/>
  <c r="I12"/>
  <c r="BF12" s="1"/>
  <c r="P15"/>
  <c r="R9"/>
  <c r="V9" l="1"/>
  <c r="BF31"/>
  <c r="M20"/>
  <c r="BG13"/>
  <c r="J12"/>
  <c r="J10"/>
  <c r="BG31" s="1"/>
  <c r="BI66"/>
  <c r="AL12"/>
  <c r="BI20"/>
  <c r="K13"/>
  <c r="U9"/>
  <c r="S9"/>
  <c r="T9"/>
  <c r="AM12" l="1"/>
  <c r="BJ32"/>
  <c r="BJ66"/>
  <c r="P22"/>
  <c r="BJ20"/>
  <c r="BG12"/>
  <c r="L13"/>
  <c r="L10" s="1"/>
  <c r="BG10"/>
  <c r="W9"/>
  <c r="K12"/>
  <c r="BH12" s="1"/>
  <c r="K10"/>
  <c r="BH13"/>
  <c r="K30"/>
  <c r="M30"/>
  <c r="L30"/>
  <c r="J30"/>
  <c r="I30"/>
  <c r="H30"/>
  <c r="G30"/>
  <c r="F30"/>
  <c r="P51"/>
  <c r="P50"/>
  <c r="P49"/>
  <c r="P46"/>
  <c r="P55"/>
  <c r="P42"/>
  <c r="P39"/>
  <c r="P37"/>
  <c r="X9" l="1"/>
  <c r="BH31"/>
  <c r="Y9"/>
  <c r="BI31"/>
  <c r="N20"/>
  <c r="BK32" s="1"/>
  <c r="P21"/>
  <c r="O20"/>
  <c r="N13"/>
  <c r="M13"/>
  <c r="BJ13" s="1"/>
  <c r="BI10"/>
  <c r="BI13"/>
  <c r="L12"/>
  <c r="BI12" s="1"/>
  <c r="BH10"/>
  <c r="AD12"/>
  <c r="P48"/>
  <c r="P41"/>
  <c r="P53"/>
  <c r="P45"/>
  <c r="P35"/>
  <c r="P40"/>
  <c r="P33"/>
  <c r="O44" l="1"/>
  <c r="BL32" s="1"/>
  <c r="AN12"/>
  <c r="BK20"/>
  <c r="BK66"/>
  <c r="BK13"/>
  <c r="O14"/>
  <c r="O13" s="1"/>
  <c r="O12" s="1"/>
  <c r="O9" s="1"/>
  <c r="N12"/>
  <c r="N9" s="1"/>
  <c r="N10"/>
  <c r="M10"/>
  <c r="BJ31" s="1"/>
  <c r="M12"/>
  <c r="AE12"/>
  <c r="E30"/>
  <c r="P32"/>
  <c r="AA9" l="1"/>
  <c r="BK31"/>
  <c r="P13"/>
  <c r="O10"/>
  <c r="P10" s="1"/>
  <c r="BJ12"/>
  <c r="M9"/>
  <c r="Z9"/>
  <c r="BK10"/>
  <c r="BJ10"/>
  <c r="BK12"/>
  <c r="P47"/>
  <c r="BL66"/>
  <c r="BB12"/>
  <c r="D30"/>
  <c r="P44" l="1"/>
  <c r="BA70"/>
  <c r="BB70" s="1"/>
  <c r="BC70" s="1"/>
  <c r="BA68"/>
  <c r="BB68" s="1"/>
  <c r="BC68" s="1"/>
  <c r="BF10"/>
  <c r="BD10"/>
  <c r="BE10"/>
  <c r="BA12"/>
  <c r="BC12"/>
  <c r="AD9"/>
  <c r="Q9"/>
  <c r="E58"/>
  <c r="F58"/>
  <c r="G58"/>
  <c r="H58"/>
  <c r="I58"/>
  <c r="J58"/>
  <c r="K58"/>
  <c r="L58"/>
  <c r="M58"/>
  <c r="N58"/>
  <c r="O58"/>
  <c r="D58"/>
  <c r="J64"/>
  <c r="P64" s="1"/>
  <c r="P63"/>
  <c r="P61"/>
  <c r="P69"/>
  <c r="P67"/>
  <c r="P68"/>
  <c r="P65"/>
  <c r="P62"/>
  <c r="BD70" l="1"/>
  <c r="BE70" s="1"/>
  <c r="BF70" s="1"/>
  <c r="BG70" s="1"/>
  <c r="BH70" s="1"/>
  <c r="BD68"/>
  <c r="BE68" s="1"/>
  <c r="BF68" s="1"/>
  <c r="BG68" s="1"/>
  <c r="BH68" s="1"/>
  <c r="BI68" s="1"/>
  <c r="BJ68" s="1"/>
  <c r="BK68" s="1"/>
  <c r="P23"/>
  <c r="P14"/>
  <c r="K9"/>
  <c r="J9"/>
  <c r="I9"/>
  <c r="H9"/>
  <c r="G9"/>
  <c r="P11"/>
  <c r="P24"/>
  <c r="P27"/>
  <c r="P28"/>
  <c r="O31" s="1"/>
  <c r="P29"/>
  <c r="P58"/>
  <c r="P59"/>
  <c r="P60"/>
  <c r="P66"/>
  <c r="P73"/>
  <c r="O30" l="1"/>
  <c r="BL31"/>
  <c r="BL68"/>
  <c r="P34"/>
  <c r="L9"/>
  <c r="F9"/>
  <c r="E9"/>
  <c r="D9"/>
  <c r="B8"/>
  <c r="C8" s="1"/>
  <c r="D8" s="1"/>
  <c r="BK9" l="1"/>
  <c r="BJ9"/>
  <c r="BI70"/>
  <c r="BJ70" s="1"/>
  <c r="BK70" s="1"/>
  <c r="BL70" s="1"/>
  <c r="P30"/>
  <c r="AB9"/>
  <c r="AC9" s="1"/>
  <c r="P31"/>
  <c r="BM68" s="1"/>
  <c r="BG9"/>
  <c r="BI9"/>
  <c r="BH9"/>
  <c r="BD9"/>
  <c r="BE9"/>
  <c r="D56"/>
  <c r="E56" s="1"/>
  <c r="F56" s="1"/>
  <c r="G56" s="1"/>
  <c r="H56" s="1"/>
  <c r="I56" s="1"/>
  <c r="J56" s="1"/>
  <c r="K56" s="1"/>
  <c r="L56" s="1"/>
  <c r="D70"/>
  <c r="D57" s="1"/>
  <c r="D72" s="1"/>
  <c r="BF9"/>
  <c r="BC9"/>
  <c r="BB9"/>
  <c r="BA9"/>
  <c r="E8"/>
  <c r="F8" s="1"/>
  <c r="G8" s="1"/>
  <c r="M56" l="1"/>
  <c r="N56" s="1"/>
  <c r="E70"/>
  <c r="P26"/>
  <c r="E71"/>
  <c r="E72" s="1"/>
  <c r="E57" l="1"/>
  <c r="F70"/>
  <c r="AE9"/>
  <c r="F57" l="1"/>
  <c r="G70"/>
  <c r="F71"/>
  <c r="F72" s="1"/>
  <c r="G57" l="1"/>
  <c r="H70"/>
  <c r="G71"/>
  <c r="G72" s="1"/>
  <c r="AF9"/>
  <c r="I70" l="1"/>
  <c r="H57"/>
  <c r="H71"/>
  <c r="AG9"/>
  <c r="J70" l="1"/>
  <c r="I57"/>
  <c r="H72"/>
  <c r="I71" s="1"/>
  <c r="I72" s="1"/>
  <c r="J71" s="1"/>
  <c r="J72" s="1"/>
  <c r="AH9"/>
  <c r="J57" l="1"/>
  <c r="K70"/>
  <c r="AI9"/>
  <c r="K57" l="1"/>
  <c r="L70"/>
  <c r="AP9"/>
  <c r="P25"/>
  <c r="P20" s="1"/>
  <c r="BM66" l="1"/>
  <c r="BM70"/>
  <c r="M70"/>
  <c r="L57"/>
  <c r="AO12"/>
  <c r="M57" l="1"/>
  <c r="P12"/>
  <c r="P9" s="1"/>
  <c r="P56" s="1"/>
  <c r="AP12"/>
  <c r="O56"/>
  <c r="N70"/>
  <c r="P70" l="1"/>
  <c r="P72" s="1"/>
  <c r="N57"/>
  <c r="O70"/>
  <c r="AJ9"/>
  <c r="K71"/>
  <c r="P57" l="1"/>
  <c r="O57"/>
  <c r="K72"/>
  <c r="L71" s="1"/>
  <c r="L72" s="1"/>
  <c r="AK9"/>
  <c r="M71" l="1"/>
  <c r="M72" s="1"/>
  <c r="AL9"/>
  <c r="AM9" l="1"/>
  <c r="N71" l="1"/>
  <c r="N72" s="1"/>
  <c r="AN9" l="1"/>
  <c r="O71" l="1"/>
  <c r="O72" s="1"/>
  <c r="AO9" l="1"/>
</calcChain>
</file>

<file path=xl/sharedStrings.xml><?xml version="1.0" encoding="utf-8"?>
<sst xmlns="http://schemas.openxmlformats.org/spreadsheetml/2006/main" count="189" uniqueCount="124">
  <si>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</si>
  <si>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</si>
  <si>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</si>
  <si>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</si>
  <si>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</si>
  <si>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</si>
  <si>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</si>
  <si>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</si>
  <si>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</si>
  <si>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</si>
  <si>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</si>
  <si>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</si>
  <si>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</si>
  <si>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</si>
  <si>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</si>
  <si>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</si>
  <si>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</si>
  <si>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</si>
  <si>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</si>
  <si>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</si>
  <si>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</si>
  <si>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</si>
  <si>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</si>
  <si>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</si>
  <si>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</si>
  <si>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</si>
  <si>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</si>
  <si>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</si>
  <si>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</si>
  <si>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</si>
  <si>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</si>
  <si>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</si>
  <si>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</si>
  <si>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</si>
  <si>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</si>
  <si>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</si>
  <si>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</si>
  <si>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</si>
  <si>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</si>
  <si>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</si>
  <si>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</si>
  <si>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</si>
  <si>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</si>
  <si>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</si>
  <si>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</si>
  <si>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</si>
  <si>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</si>
  <si>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</si>
  <si>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</si>
  <si>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</si>
  <si>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</si>
  <si>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</si>
  <si>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</si>
  <si>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</si>
  <si>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</si>
  <si>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</si>
  <si>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</si>
  <si>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</si>
  <si>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</si>
  <si>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</si>
  <si>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</si>
  <si>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</si>
  <si>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</si>
  <si>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</si>
  <si>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</si>
  <si>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</si>
  <si>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</si>
  <si>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</si>
  <si>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</si>
  <si>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</si>
  <si>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</si>
  <si>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</si>
  <si>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</si>
  <si>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</si>
  <si>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</si>
  <si>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</si>
  <si>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</si>
  <si>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</si>
  <si>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</si>
  <si>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</si>
  <si>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</si>
  <si>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</si>
  <si>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</si>
  <si>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</si>
  <si>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</si>
  <si>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</si>
  <si>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</si>
  <si>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</si>
  <si>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</si>
  <si>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</si>
  <si>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</si>
  <si>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</si>
  <si>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</si>
  <si>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</si>
  <si>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</si>
  <si>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</si>
  <si>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</si>
  <si>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</si>
  <si>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</si>
  <si>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</si>
  <si>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</si>
  <si>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</si>
  <si>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</si>
  <si>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</si>
  <si>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</si>
  <si>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</si>
  <si>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</si>
  <si>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</si>
  <si>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</si>
  <si>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2 07 05 000 00 0000 150</t>
  </si>
  <si>
    <t>Уплата налогов, сборов и иных платежей ВР 850</t>
  </si>
  <si>
    <t>Иные межбюджетные трансферты ВР 540</t>
  </si>
  <si>
    <t>целевые ОСТАТОК</t>
  </si>
  <si>
    <t>с/с ОСТАТОК</t>
  </si>
  <si>
    <t>ВСЕГО ОСТАТОК</t>
  </si>
  <si>
    <t>2 02 49 999 00 0000 150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</si>
  <si>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</si>
  <si>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 xml:space="preserve">И.о. Руководителя Финансового управления Муезерского района Степанова Н.В.
</t>
  </si>
  <si>
    <t>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</si>
  <si>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</si>
  <si>
    <t>КАССОВЫЙ ПЛАН НА "01" января 2024г.
текущий (очередной)</t>
  </si>
  <si>
    <t>с/с</t>
  </si>
  <si>
    <t>целевые</t>
  </si>
  <si>
    <t>"12" декабря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</si>
</sst>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0" xfId="0" applyFont="1" applyFill="1"/>
    <xf numFmtId="164" fontId="2" fillId="0" borderId="0" xfId="0" applyNumberFormat="1" applyFont="1" applyFill="1"/>
    <xf numFmtId="164" fontId="5" fillId="0" borderId="1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164" fontId="2" fillId="2" borderId="0" xfId="0" applyNumberFormat="1" applyFont="1" applyFill="1"/>
    <xf numFmtId="164" fontId="5" fillId="0" borderId="1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>
      <alignment horizontal="left"/>
    </xf>
    <xf numFmtId="164" fontId="7" fillId="0" borderId="0" xfId="0" applyNumberFormat="1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3" fillId="0" borderId="0" xfId="0" applyFont="1" applyFill="1" applyAlignment="1"/>
    <xf numFmtId="0" fontId="4" fillId="0" borderId="0" xfId="0" applyFont="1" applyFill="1" applyAlignment="1"/>
    <xf numFmtId="0" fontId="2" fillId="0" borderId="0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78"/>
  <sheetViews>
    <sheetView tabSelected="1" zoomScale="75" zoomScaleNormal="75" workbookViewId="0">
      <pane ySplit="8" topLeftCell="A56" activePane="bottomLeft" state="frozen"/>
      <selection pane="bottomLeft" activeCell="A5" sqref="A5:P5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1" customWidth="1"/>
    <col min="5" max="5" width="10.42578125" style="1" customWidth="1"/>
    <col min="6" max="6" width="8.85546875" style="1" customWidth="1"/>
    <col min="7" max="7" width="10.5703125" style="1" customWidth="1"/>
    <col min="8" max="8" width="10.7109375" style="1" customWidth="1"/>
    <col min="9" max="9" width="12.28515625" style="1" customWidth="1"/>
    <col min="10" max="10" width="10.7109375" style="1" customWidth="1"/>
    <col min="11" max="11" width="10.140625" style="1" customWidth="1"/>
    <col min="12" max="12" width="11.42578125" style="1" customWidth="1"/>
    <col min="13" max="13" width="10.140625" style="1" customWidth="1"/>
    <col min="14" max="14" width="10.28515625" style="1" customWidth="1"/>
    <col min="15" max="15" width="12.42578125" style="1" customWidth="1"/>
    <col min="16" max="16" width="12.7109375" style="7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3" width="13.28515625" style="1" bestFit="1" customWidth="1"/>
    <col min="54" max="54" width="9.42578125" style="1" bestFit="1" customWidth="1"/>
    <col min="55" max="55" width="10.140625" style="1" bestFit="1" customWidth="1"/>
    <col min="56" max="56" width="10" style="1" customWidth="1"/>
    <col min="57" max="57" width="12.85546875" style="1" customWidth="1"/>
    <col min="58" max="58" width="11.140625" style="1" bestFit="1" customWidth="1"/>
    <col min="59" max="60" width="12" style="1" customWidth="1"/>
    <col min="61" max="61" width="11.5703125" style="1" customWidth="1"/>
    <col min="62" max="63" width="11.42578125" style="1" customWidth="1"/>
    <col min="64" max="64" width="12.42578125" style="1" customWidth="1"/>
    <col min="65" max="65" width="11.140625" style="1" bestFit="1" customWidth="1"/>
    <col min="66" max="16384" width="9.140625" style="1"/>
  </cols>
  <sheetData>
    <row r="1" spans="1:65" ht="48" customHeight="1">
      <c r="B1" s="3"/>
      <c r="C1" s="3"/>
      <c r="D1" s="3"/>
      <c r="E1" s="3"/>
      <c r="F1" s="37"/>
      <c r="G1" s="37"/>
      <c r="I1" s="49" t="s">
        <v>77</v>
      </c>
      <c r="J1" s="49"/>
      <c r="K1" s="49"/>
      <c r="L1" s="49"/>
      <c r="M1" s="49"/>
      <c r="N1" s="49"/>
      <c r="O1" s="49"/>
      <c r="P1" s="49"/>
    </row>
    <row r="2" spans="1:65" ht="16.5" customHeight="1">
      <c r="B2" s="3"/>
      <c r="C2" s="3"/>
      <c r="D2" s="3"/>
      <c r="E2" s="3"/>
      <c r="F2" s="37"/>
      <c r="G2" s="37"/>
      <c r="I2" s="49" t="s">
        <v>107</v>
      </c>
      <c r="J2" s="49"/>
      <c r="K2" s="49"/>
      <c r="L2" s="49"/>
      <c r="M2" s="49"/>
      <c r="N2" s="49"/>
      <c r="O2" s="49"/>
      <c r="P2" s="49"/>
    </row>
    <row r="3" spans="1:65" ht="33" customHeight="1">
      <c r="B3" s="3"/>
      <c r="C3" s="3"/>
      <c r="D3" s="3"/>
      <c r="E3" s="3"/>
      <c r="F3" s="37"/>
      <c r="G3" s="37"/>
      <c r="I3" s="50" t="s">
        <v>117</v>
      </c>
      <c r="J3" s="50"/>
      <c r="K3" s="50"/>
      <c r="L3" s="50"/>
      <c r="M3" s="50"/>
      <c r="N3" s="50"/>
      <c r="O3" s="50"/>
      <c r="P3" s="50"/>
    </row>
    <row r="4" spans="1:65" ht="17.25" customHeight="1">
      <c r="B4" s="3"/>
      <c r="C4" s="3"/>
      <c r="D4" s="3"/>
      <c r="E4" s="3"/>
      <c r="F4" s="37"/>
      <c r="G4" s="37"/>
      <c r="I4" s="49" t="s">
        <v>123</v>
      </c>
      <c r="J4" s="49"/>
      <c r="K4" s="49"/>
      <c r="L4" s="49"/>
      <c r="M4" s="49"/>
      <c r="N4" s="49"/>
      <c r="O4" s="49"/>
      <c r="P4" s="49"/>
    </row>
    <row r="5" spans="1:65" ht="28.5" customHeight="1">
      <c r="A5" s="53" t="s">
        <v>120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65" ht="15.75" customHeight="1" thickBot="1">
      <c r="A6" s="1" t="s">
        <v>78</v>
      </c>
      <c r="C6" s="2"/>
      <c r="D6" s="2"/>
      <c r="E6" s="2"/>
      <c r="F6" s="2"/>
      <c r="G6" s="2"/>
    </row>
    <row r="7" spans="1:65" ht="35.25" customHeight="1">
      <c r="A7" s="38" t="s">
        <v>1</v>
      </c>
      <c r="B7" s="39" t="s">
        <v>2</v>
      </c>
      <c r="C7" s="24" t="s">
        <v>3</v>
      </c>
      <c r="D7" s="24" t="s">
        <v>63</v>
      </c>
      <c r="E7" s="24" t="s">
        <v>64</v>
      </c>
      <c r="F7" s="24" t="s">
        <v>65</v>
      </c>
      <c r="G7" s="24" t="s">
        <v>66</v>
      </c>
      <c r="H7" s="24" t="s">
        <v>67</v>
      </c>
      <c r="I7" s="24" t="s">
        <v>68</v>
      </c>
      <c r="J7" s="24" t="s">
        <v>69</v>
      </c>
      <c r="K7" s="24" t="s">
        <v>70</v>
      </c>
      <c r="L7" s="24" t="s">
        <v>71</v>
      </c>
      <c r="M7" s="24" t="s">
        <v>72</v>
      </c>
      <c r="N7" s="24" t="s">
        <v>73</v>
      </c>
      <c r="O7" s="24" t="s">
        <v>74</v>
      </c>
      <c r="P7" s="26" t="s">
        <v>75</v>
      </c>
      <c r="AD7" s="24" t="s">
        <v>63</v>
      </c>
      <c r="AE7" s="24" t="s">
        <v>64</v>
      </c>
      <c r="AF7" s="24" t="s">
        <v>65</v>
      </c>
      <c r="AG7" s="24" t="s">
        <v>66</v>
      </c>
      <c r="AH7" s="24" t="s">
        <v>67</v>
      </c>
      <c r="AI7" s="24" t="s">
        <v>68</v>
      </c>
      <c r="AJ7" s="24" t="s">
        <v>69</v>
      </c>
      <c r="AK7" s="24" t="s">
        <v>70</v>
      </c>
      <c r="AL7" s="24" t="s">
        <v>71</v>
      </c>
      <c r="AM7" s="24" t="s">
        <v>72</v>
      </c>
      <c r="AN7" s="24" t="s">
        <v>73</v>
      </c>
      <c r="AO7" s="24" t="s">
        <v>74</v>
      </c>
      <c r="BA7" s="24" t="s">
        <v>63</v>
      </c>
      <c r="BB7" s="24" t="s">
        <v>64</v>
      </c>
      <c r="BC7" s="24" t="s">
        <v>65</v>
      </c>
      <c r="BD7" s="24" t="s">
        <v>66</v>
      </c>
      <c r="BE7" s="24" t="s">
        <v>67</v>
      </c>
      <c r="BF7" s="24" t="s">
        <v>68</v>
      </c>
      <c r="BG7" s="24" t="s">
        <v>69</v>
      </c>
      <c r="BH7" s="24" t="s">
        <v>70</v>
      </c>
      <c r="BI7" s="24" t="s">
        <v>71</v>
      </c>
      <c r="BJ7" s="24" t="s">
        <v>72</v>
      </c>
      <c r="BK7" s="24" t="s">
        <v>73</v>
      </c>
      <c r="BL7" s="24" t="s">
        <v>74</v>
      </c>
      <c r="BM7" s="26" t="s">
        <v>75</v>
      </c>
    </row>
    <row r="8" spans="1:65" s="5" customFormat="1" ht="9.75" customHeight="1" thickBot="1">
      <c r="A8" s="13" t="s">
        <v>0</v>
      </c>
      <c r="B8" s="8">
        <f>A8+1</f>
        <v>2</v>
      </c>
      <c r="C8" s="9">
        <f t="shared" ref="C8:G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25">
        <v>16</v>
      </c>
    </row>
    <row r="9" spans="1:65" s="7" customFormat="1" ht="33" customHeight="1">
      <c r="A9" s="14" t="s">
        <v>4</v>
      </c>
      <c r="B9" s="17" t="s">
        <v>5</v>
      </c>
      <c r="C9" s="11"/>
      <c r="D9" s="32">
        <f>D11+D12</f>
        <v>20554.516666666666</v>
      </c>
      <c r="E9" s="32">
        <f t="shared" ref="E9:P9" si="1">E11+E12</f>
        <v>30212.979796666663</v>
      </c>
      <c r="F9" s="32">
        <f t="shared" si="1"/>
        <v>44522.325336666661</v>
      </c>
      <c r="G9" s="32">
        <f t="shared" si="1"/>
        <v>35438.945856666673</v>
      </c>
      <c r="H9" s="32">
        <f t="shared" si="1"/>
        <v>40009.846876666663</v>
      </c>
      <c r="I9" s="32">
        <f t="shared" si="1"/>
        <v>52680.097646666676</v>
      </c>
      <c r="J9" s="32">
        <f t="shared" si="1"/>
        <v>41684.175996666658</v>
      </c>
      <c r="K9" s="32">
        <f t="shared" si="1"/>
        <v>24063.085126666647</v>
      </c>
      <c r="L9" s="32">
        <f t="shared" si="1"/>
        <v>30748.2955666667</v>
      </c>
      <c r="M9" s="32">
        <f t="shared" si="1"/>
        <v>40857.936516666654</v>
      </c>
      <c r="N9" s="32">
        <f t="shared" si="1"/>
        <v>37819.025306666648</v>
      </c>
      <c r="O9" s="32">
        <f t="shared" si="1"/>
        <v>55348.76930666664</v>
      </c>
      <c r="P9" s="32">
        <f t="shared" si="1"/>
        <v>453939.99999999988</v>
      </c>
      <c r="Q9" s="46">
        <f t="shared" ref="Q9:AB9" si="2">D10-D31</f>
        <v>-2.0063333333382616E-2</v>
      </c>
      <c r="R9" s="46">
        <f t="shared" si="2"/>
        <v>-1.3933333357272204E-3</v>
      </c>
      <c r="S9" s="46">
        <f t="shared" si="2"/>
        <v>2.3156666662544012E-2</v>
      </c>
      <c r="T9" s="46">
        <f t="shared" si="2"/>
        <v>3.6876666665193625E-2</v>
      </c>
      <c r="U9" s="46">
        <f t="shared" si="2"/>
        <v>-2.100333333510207E-2</v>
      </c>
      <c r="V9" s="46">
        <f t="shared" si="2"/>
        <v>-3.1723333333502524E-2</v>
      </c>
      <c r="W9" s="46">
        <f t="shared" si="2"/>
        <v>-1.8453333323122934E-2</v>
      </c>
      <c r="X9" s="46">
        <f t="shared" si="2"/>
        <v>-4.8323333339794772E-2</v>
      </c>
      <c r="Y9" s="46">
        <f t="shared" si="2"/>
        <v>-3.7643333314917982E-2</v>
      </c>
      <c r="Z9" s="46">
        <f t="shared" si="2"/>
        <v>1.8446666661475319E-2</v>
      </c>
      <c r="AA9" s="46">
        <f t="shared" si="2"/>
        <v>-2.4293333332025213E-2</v>
      </c>
      <c r="AB9" s="46">
        <f t="shared" si="2"/>
        <v>-10449.458093333378</v>
      </c>
      <c r="AC9" s="46">
        <f>W9+X9+Y9+Z9+AA9+AB9</f>
        <v>-10449.568360000027</v>
      </c>
      <c r="AD9" s="44">
        <f t="shared" ref="AD9:AU9" si="3">D71+D10-D31</f>
        <v>718.26524666666774</v>
      </c>
      <c r="AE9" s="44">
        <f t="shared" si="3"/>
        <v>718.28885333333164</v>
      </c>
      <c r="AF9" s="44">
        <f t="shared" si="3"/>
        <v>718.31420999998954</v>
      </c>
      <c r="AG9" s="44">
        <f t="shared" si="3"/>
        <v>718.32293666665646</v>
      </c>
      <c r="AH9" s="44">
        <f t="shared" si="3"/>
        <v>718.28098333333037</v>
      </c>
      <c r="AI9" s="44">
        <f t="shared" si="3"/>
        <v>718.27611999999499</v>
      </c>
      <c r="AJ9" s="44">
        <f t="shared" si="3"/>
        <v>718.26957666668022</v>
      </c>
      <c r="AK9" s="44">
        <f t="shared" si="3"/>
        <v>718.2281633333223</v>
      </c>
      <c r="AL9" s="44">
        <f t="shared" si="3"/>
        <v>718.23097999999663</v>
      </c>
      <c r="AM9" s="44">
        <f t="shared" si="3"/>
        <v>718.34599666667418</v>
      </c>
      <c r="AN9" s="44">
        <f t="shared" si="3"/>
        <v>718.27845333333607</v>
      </c>
      <c r="AO9" s="44">
        <f t="shared" si="3"/>
        <v>-9731.1842400000605</v>
      </c>
      <c r="AP9" s="44">
        <f t="shared" si="3"/>
        <v>-9731.2972000000591</v>
      </c>
      <c r="AQ9" s="44">
        <f t="shared" si="3"/>
        <v>0</v>
      </c>
      <c r="AR9" s="44">
        <f t="shared" si="3"/>
        <v>0</v>
      </c>
      <c r="AS9" s="44">
        <f t="shared" si="3"/>
        <v>0</v>
      </c>
      <c r="AT9" s="44">
        <f t="shared" si="3"/>
        <v>0</v>
      </c>
      <c r="AU9" s="44">
        <f t="shared" si="3"/>
        <v>0</v>
      </c>
      <c r="AV9" s="44">
        <f>V10-V31</f>
        <v>0</v>
      </c>
      <c r="AW9" s="44">
        <f>W10-W31</f>
        <v>0</v>
      </c>
      <c r="AX9" s="44">
        <f>X71+X10-X31</f>
        <v>0</v>
      </c>
      <c r="AY9" s="44">
        <f>Y71+Y10-Y31</f>
        <v>0</v>
      </c>
      <c r="BA9" s="44">
        <f>18306.09994-D9</f>
        <v>-2248.4167266666664</v>
      </c>
      <c r="BB9" s="44">
        <f>58073.89626-E9-D9</f>
        <v>7306.399796666672</v>
      </c>
      <c r="BC9" s="44">
        <f>118586.54749-F9-E9-D9</f>
        <v>23296.725690000003</v>
      </c>
      <c r="BD9" s="44">
        <f>155915.41367-G9-F9-E9-D9</f>
        <v>25186.646013333342</v>
      </c>
      <c r="BE9" s="44">
        <f>183407.42593-H9-G9-F9-E9-D9</f>
        <v>12668.811396666653</v>
      </c>
      <c r="BF9" s="44">
        <f>234923.47955-I9-H9-G9-F9-E9-D9</f>
        <v>11504.767369999987</v>
      </c>
      <c r="BG9" s="44">
        <f>274812.28254-D9-E9-F9-G9-H9-I9-J9</f>
        <v>9709.3943633333547</v>
      </c>
      <c r="BH9" s="44">
        <f>298223.65961-E9-F9-G9-H9-I9-J9-K9-D9</f>
        <v>9057.6863066667065</v>
      </c>
      <c r="BI9" s="44">
        <f>327074.59096-F9-G9-H9-I9-J9-K9-L9-E9-D9</f>
        <v>7160.322090000016</v>
      </c>
      <c r="BJ9" s="44">
        <f>365570.52662-G9-H9-I9-J9-K9-L9-M9-F9-E9-D9</f>
        <v>4798.3212333333795</v>
      </c>
      <c r="BK9" s="44">
        <f>420055.75042-H9-I9-J9-K9-L9-M9-N9-G9-F9-E9-D9</f>
        <v>21464.519726666676</v>
      </c>
    </row>
    <row r="10" spans="1:65" ht="15" customHeight="1">
      <c r="A10" s="33"/>
      <c r="B10" s="18" t="s">
        <v>92</v>
      </c>
      <c r="C10" s="4" t="s">
        <v>86</v>
      </c>
      <c r="D10" s="31">
        <f>D11+D13</f>
        <v>16281.416666666666</v>
      </c>
      <c r="E10" s="31">
        <f t="shared" ref="E10:O10" si="4">E11+E13</f>
        <v>14116.646606666665</v>
      </c>
      <c r="F10" s="31">
        <f t="shared" si="4"/>
        <v>26107.741156666663</v>
      </c>
      <c r="G10" s="31">
        <f t="shared" si="4"/>
        <v>18233.069366666663</v>
      </c>
      <c r="H10" s="31">
        <f t="shared" si="4"/>
        <v>18739.811116666664</v>
      </c>
      <c r="I10" s="31">
        <f t="shared" si="4"/>
        <v>19178.351186666667</v>
      </c>
      <c r="J10" s="31">
        <f t="shared" si="4"/>
        <v>19750.130506666676</v>
      </c>
      <c r="K10" s="31">
        <f t="shared" si="4"/>
        <v>18338.599316666659</v>
      </c>
      <c r="L10" s="31">
        <f t="shared" si="4"/>
        <v>19809.898996666685</v>
      </c>
      <c r="M10" s="31">
        <f t="shared" si="4"/>
        <v>20826.530286666661</v>
      </c>
      <c r="N10" s="31">
        <f t="shared" si="4"/>
        <v>20554.423706666668</v>
      </c>
      <c r="O10" s="31">
        <f t="shared" si="4"/>
        <v>32988.081086666643</v>
      </c>
      <c r="P10" s="30">
        <f>D10+E10+F10+G10+H10+I10+J10+K10+L10+M10+N10+O10</f>
        <v>244924.69999999998</v>
      </c>
      <c r="BA10" s="44">
        <v>0</v>
      </c>
      <c r="BB10" s="44">
        <v>0</v>
      </c>
      <c r="BC10" s="44">
        <f>81039.58774-F10-E10-D10</f>
        <v>24533.783310000006</v>
      </c>
      <c r="BD10" s="44">
        <f>97113.08477-G10-F10-E10-D10</f>
        <v>22374.210973333342</v>
      </c>
      <c r="BE10" s="44">
        <f>103798.37922-H10-G10-F10-E10-D10</f>
        <v>10319.694306666681</v>
      </c>
      <c r="BF10" s="44">
        <f>120717.15798-I10-H10-G10-F10-E10-D10</f>
        <v>8060.1218800000152</v>
      </c>
      <c r="BG10" s="44">
        <f>143663.62825-J10-I10-H10-G10-F10-E10-D10</f>
        <v>11256.461643333352</v>
      </c>
      <c r="BH10" s="44">
        <f>157208.67723-E10-F10-G10-H10-I10-J10-K10-D10</f>
        <v>6462.9113066666741</v>
      </c>
      <c r="BI10" s="44">
        <f>169812.67807-F10-G10-H10-I10-J10-K10-L10-E10-D10</f>
        <v>-742.98685000001387</v>
      </c>
      <c r="BJ10" s="44">
        <f>184035.28598-G10-H10-I10-J10-K10-L10-M10-F10-E10-D10</f>
        <v>-7346.9092266666612</v>
      </c>
      <c r="BK10" s="44">
        <f>218431.62272-H10-I10-J10-K10-L10-M10-N10-G10-F10-E10-D10</f>
        <v>6495.0038066666693</v>
      </c>
    </row>
    <row r="11" spans="1:65" s="7" customFormat="1" ht="15.75" customHeight="1">
      <c r="A11" s="15" t="s">
        <v>6</v>
      </c>
      <c r="B11" s="19" t="s">
        <v>7</v>
      </c>
      <c r="C11" s="6" t="s">
        <v>8</v>
      </c>
      <c r="D11" s="29">
        <v>4562</v>
      </c>
      <c r="E11" s="29">
        <f>6089.47994-D11</f>
        <v>1527.4799400000002</v>
      </c>
      <c r="F11" s="29">
        <f>19922.92943-D11-E11</f>
        <v>13833.449489999999</v>
      </c>
      <c r="G11" s="29">
        <f>25977.70713-E11-F11-D11</f>
        <v>6054.7776999999987</v>
      </c>
      <c r="H11" s="29">
        <f>32539.22658-F11-G11-E11-D11</f>
        <v>6561.5194499999998</v>
      </c>
      <c r="I11" s="29">
        <f>39539.2861-G11-H11-F11-E11-D11</f>
        <v>7000.0595199999989</v>
      </c>
      <c r="J11" s="29">
        <f>47111.12494-H11-I11-G11-F11-E11-D11</f>
        <v>7571.8388400000076</v>
      </c>
      <c r="K11" s="29">
        <f>53271.43259-I11-J11-H11-G11-F11-E11-D11</f>
        <v>6160.3076499999916</v>
      </c>
      <c r="L11" s="29">
        <f>60903.03992-J11-K11-I11-H11-G11-F11-E11-D11</f>
        <v>7631.6073300000171</v>
      </c>
      <c r="M11" s="29">
        <f>69551.27854-K11-L11-J11-I11-H11-G11-F11-E11-D11</f>
        <v>8648.2386199999928</v>
      </c>
      <c r="N11" s="29">
        <f>77927.41058-L11-M11-K11-J11-I11-H11-G11-F11-E11-D11</f>
        <v>8376.1320400000004</v>
      </c>
      <c r="O11" s="29">
        <f>98435.2-D11-E11-F11-G11-H11-I11-J11-K11-L11-M11-N11</f>
        <v>20507.789419999994</v>
      </c>
      <c r="P11" s="30">
        <f t="shared" ref="P11:P23" si="5">SUM(D11:O11)</f>
        <v>98435.199999999983</v>
      </c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</row>
    <row r="12" spans="1:65" s="7" customFormat="1" ht="15.75" customHeight="1">
      <c r="A12" s="15" t="s">
        <v>9</v>
      </c>
      <c r="B12" s="19" t="s">
        <v>93</v>
      </c>
      <c r="C12" s="6" t="s">
        <v>10</v>
      </c>
      <c r="D12" s="29">
        <f t="shared" ref="D12:I12" si="6">D13+D20</f>
        <v>15992.516666666666</v>
      </c>
      <c r="E12" s="29">
        <f t="shared" si="6"/>
        <v>28685.499856666662</v>
      </c>
      <c r="F12" s="29">
        <f t="shared" si="6"/>
        <v>30688.875846666662</v>
      </c>
      <c r="G12" s="29">
        <f t="shared" si="6"/>
        <v>29384.168156666674</v>
      </c>
      <c r="H12" s="29">
        <f t="shared" si="6"/>
        <v>33448.327426666663</v>
      </c>
      <c r="I12" s="29">
        <f t="shared" si="6"/>
        <v>45680.038126666674</v>
      </c>
      <c r="J12" s="29">
        <f t="shared" ref="J12:P12" si="7">J13+J20</f>
        <v>34112.337156666654</v>
      </c>
      <c r="K12" s="29">
        <f t="shared" si="7"/>
        <v>17902.777476666655</v>
      </c>
      <c r="L12" s="29">
        <f t="shared" si="7"/>
        <v>23116.688236666683</v>
      </c>
      <c r="M12" s="29">
        <f t="shared" si="7"/>
        <v>32209.697896666665</v>
      </c>
      <c r="N12" s="29">
        <f t="shared" si="7"/>
        <v>29442.893266666651</v>
      </c>
      <c r="O12" s="29">
        <f t="shared" si="7"/>
        <v>34840.979886666646</v>
      </c>
      <c r="P12" s="29">
        <f t="shared" si="7"/>
        <v>355504.79999999993</v>
      </c>
      <c r="AD12" s="44">
        <f>-D28+D20-D44</f>
        <v>2.5000000000545697E-2</v>
      </c>
      <c r="AE12" s="44">
        <f t="shared" ref="AE12:AS12" si="8">E20-E44</f>
        <v>2.1999999971740181E-3</v>
      </c>
      <c r="AF12" s="44">
        <f t="shared" si="8"/>
        <v>-2.8150000001915032E-2</v>
      </c>
      <c r="AG12" s="44">
        <f t="shared" si="8"/>
        <v>-2.0949999994627433E-2</v>
      </c>
      <c r="AH12" s="44">
        <f t="shared" si="8"/>
        <v>2.6859999998123385E-2</v>
      </c>
      <c r="AI12" s="44">
        <f t="shared" si="8"/>
        <v>1.1910000008356292E-2</v>
      </c>
      <c r="AJ12" s="44">
        <f t="shared" si="8"/>
        <v>6.9099999891477637E-3</v>
      </c>
      <c r="AK12" s="44">
        <f t="shared" si="8"/>
        <v>4.0459999991071527E-2</v>
      </c>
      <c r="AL12" s="44">
        <f t="shared" si="8"/>
        <v>9.6570000019710278E-2</v>
      </c>
      <c r="AM12" s="44">
        <f t="shared" si="8"/>
        <v>-4.3249999998806743E-2</v>
      </c>
      <c r="AN12" s="44">
        <f t="shared" si="8"/>
        <v>-4.600000011123484E-3</v>
      </c>
      <c r="AO12" s="44">
        <f t="shared" si="8"/>
        <v>-0.11575999999331543</v>
      </c>
      <c r="AP12" s="44">
        <f t="shared" si="8"/>
        <v>-2.8000000456813723E-3</v>
      </c>
      <c r="AQ12" s="44">
        <f t="shared" si="8"/>
        <v>0</v>
      </c>
      <c r="AR12" s="44">
        <f t="shared" si="8"/>
        <v>0</v>
      </c>
      <c r="AS12" s="44">
        <f t="shared" si="8"/>
        <v>0</v>
      </c>
      <c r="AT12" s="44">
        <f>-T28+T20-T44</f>
        <v>0</v>
      </c>
      <c r="AU12" s="44">
        <f>-U28+U20-U44</f>
        <v>0</v>
      </c>
      <c r="AV12" s="44">
        <f>V28+W20-W44</f>
        <v>0</v>
      </c>
      <c r="AW12" s="44">
        <f>W28+X20-X44</f>
        <v>0</v>
      </c>
      <c r="BA12" s="44">
        <f>13907.81033-D12</f>
        <v>-2084.7063366666662</v>
      </c>
      <c r="BB12" s="44">
        <f>52184.41632-D12-E12</f>
        <v>7506.3997966666648</v>
      </c>
      <c r="BC12" s="44">
        <f>100663.61806-D12-E12-F12</f>
        <v>25296.725690000007</v>
      </c>
      <c r="BD12" s="44">
        <f>132137.70654-G12-F12-E12-D12</f>
        <v>27386.646013333342</v>
      </c>
      <c r="BE12" s="44">
        <f>153368.19935-H12-G12-F12-E12-D12</f>
        <v>15168.811396666682</v>
      </c>
      <c r="BF12" s="44">
        <f>198084.19345-I12-H12-G12-F12-E12-D12</f>
        <v>14204.767369999983</v>
      </c>
      <c r="BG12" s="44">
        <f>230561.1576-J12-I12-H12-G12-F12-E12-D12</f>
        <v>12569.394363333351</v>
      </c>
      <c r="BH12" s="44">
        <f>247952.22702-E12-F12-G12-H12-I12-J12-K12-D12</f>
        <v>12057.686306666674</v>
      </c>
      <c r="BI12" s="44">
        <f>270471.55104-F12-G12-H12-I12-J12-K12-L12-E12-D12</f>
        <v>11460.322089999998</v>
      </c>
      <c r="BJ12" s="44">
        <f>301019.24808-G12-H12-I12-J12-K12-L12-M12-F12-E12-D12</f>
        <v>9798.3212333333177</v>
      </c>
      <c r="BK12" s="44">
        <f>348128.33984-H12-I12-J12-K12-L12-M12-N12-G12-F12-E12-D12</f>
        <v>27464.519726666676</v>
      </c>
    </row>
    <row r="13" spans="1:65" s="7" customFormat="1" ht="15.75" customHeight="1">
      <c r="A13" s="15" t="s">
        <v>94</v>
      </c>
      <c r="B13" s="20" t="s">
        <v>101</v>
      </c>
      <c r="C13" s="6" t="s">
        <v>86</v>
      </c>
      <c r="D13" s="29">
        <f t="shared" ref="D13" si="9">D14+D15+D16+D17+D18+D19</f>
        <v>11719.416666666666</v>
      </c>
      <c r="E13" s="29">
        <f t="shared" ref="E13" si="10">E14+E15+E16+E17+E18+E19</f>
        <v>12589.166666666666</v>
      </c>
      <c r="F13" s="29">
        <f t="shared" ref="F13" si="11">F14+F15+F16+F17+F18+F19</f>
        <v>12274.291666666666</v>
      </c>
      <c r="G13" s="29">
        <f t="shared" ref="G13" si="12">G14+G15+G16+G17+G18+G19</f>
        <v>12178.291666666666</v>
      </c>
      <c r="H13" s="29">
        <f t="shared" ref="H13" si="13">H14+H15+H16+H17+H18+H19</f>
        <v>12178.291666666666</v>
      </c>
      <c r="I13" s="29">
        <f t="shared" ref="I13" si="14">I14+I15+I16+I17+I18+I19</f>
        <v>12178.291666666666</v>
      </c>
      <c r="J13" s="29">
        <f t="shared" ref="J13" si="15">J14+J15+J16+J17+J18+J19</f>
        <v>12178.291666666666</v>
      </c>
      <c r="K13" s="29">
        <f t="shared" ref="K13:N13" si="16">K14+K15+K16+K17+K18+K19</f>
        <v>12178.291666666666</v>
      </c>
      <c r="L13" s="29">
        <f t="shared" si="16"/>
        <v>12178.291666666666</v>
      </c>
      <c r="M13" s="29">
        <f t="shared" si="16"/>
        <v>12178.291666666666</v>
      </c>
      <c r="N13" s="29">
        <f t="shared" si="16"/>
        <v>12178.291666666666</v>
      </c>
      <c r="O13" s="29">
        <f>O14+O15+O16+O17+O18+O19</f>
        <v>12480.291666666648</v>
      </c>
      <c r="P13" s="30">
        <f>SUM(D13:O13)</f>
        <v>146489.5</v>
      </c>
      <c r="BA13" s="44">
        <f>10053.83333-D13</f>
        <v>-1665.5833366666666</v>
      </c>
      <c r="BB13" s="44">
        <f>32397.31693-D13-E13+2.521</f>
        <v>8091.2545966666703</v>
      </c>
      <c r="BC13" s="44">
        <f>63116.65831-D13-E13-F13</f>
        <v>26533.783310000006</v>
      </c>
      <c r="BD13" s="44">
        <f>73335.37764-G13-F13-E13-D13</f>
        <v>24574.210973333349</v>
      </c>
      <c r="BE13" s="44">
        <f>73759.15264-H13-G13-F13-E13-D13</f>
        <v>12819.694306666677</v>
      </c>
      <c r="BF13" s="44">
        <f>83877.87188-I13-H13-G13-F13-E13-D13</f>
        <v>10760.121880000012</v>
      </c>
      <c r="BG13" s="44">
        <f>99412.50331-J13-I13-H13-G13-F13-E13-D13</f>
        <v>14116.461643333334</v>
      </c>
      <c r="BH13" s="44">
        <f>106937.24464-E13-F13-G13-H13-I13-J13-K13-D13</f>
        <v>9462.9113066666669</v>
      </c>
      <c r="BI13" s="44">
        <f>113209.63815-F13-G13-H13-I13-J13-K13-L13-E13-D13</f>
        <v>3557.0131499999952</v>
      </c>
      <c r="BJ13" s="44">
        <f>119484.00744-G13-H13-I13-J13-K13-L13-M13-F13-E13-D13</f>
        <v>-2346.9092266666739</v>
      </c>
      <c r="BK13" s="44">
        <f>146504.21214-H13-I13-J13-K13-L13-M13-N13-G13-F13-E13-D13</f>
        <v>12495.003806666651</v>
      </c>
    </row>
    <row r="14" spans="1:65" ht="14.25" customHeight="1">
      <c r="A14" s="33"/>
      <c r="B14" s="34" t="s">
        <v>11</v>
      </c>
      <c r="C14" s="4" t="s">
        <v>12</v>
      </c>
      <c r="D14" s="31">
        <f t="shared" ref="D14:N14" si="17">132173/12</f>
        <v>11014.416666666666</v>
      </c>
      <c r="E14" s="31">
        <f t="shared" si="17"/>
        <v>11014.416666666666</v>
      </c>
      <c r="F14" s="31">
        <f t="shared" si="17"/>
        <v>11014.416666666666</v>
      </c>
      <c r="G14" s="31">
        <f t="shared" si="17"/>
        <v>11014.416666666666</v>
      </c>
      <c r="H14" s="31">
        <f t="shared" si="17"/>
        <v>11014.416666666666</v>
      </c>
      <c r="I14" s="31">
        <f t="shared" si="17"/>
        <v>11014.416666666666</v>
      </c>
      <c r="J14" s="31">
        <f t="shared" si="17"/>
        <v>11014.416666666666</v>
      </c>
      <c r="K14" s="31">
        <f t="shared" si="17"/>
        <v>11014.416666666666</v>
      </c>
      <c r="L14" s="31">
        <f t="shared" si="17"/>
        <v>11014.416666666666</v>
      </c>
      <c r="M14" s="31">
        <f t="shared" si="17"/>
        <v>11014.416666666666</v>
      </c>
      <c r="N14" s="31">
        <f t="shared" si="17"/>
        <v>11014.416666666666</v>
      </c>
      <c r="O14" s="31">
        <f>132173-D14-E14-F14-G14-H14-I14-J14-K14-L14-M14-N14</f>
        <v>11014.416666666648</v>
      </c>
      <c r="P14" s="30">
        <f>SUM(D14:O14)</f>
        <v>132173</v>
      </c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</row>
    <row r="15" spans="1:65" ht="49.5" customHeight="1">
      <c r="A15" s="33"/>
      <c r="B15" s="21" t="s">
        <v>99</v>
      </c>
      <c r="C15" s="4" t="s">
        <v>13</v>
      </c>
      <c r="D15" s="31">
        <v>0</v>
      </c>
      <c r="E15" s="31">
        <f>(3449.1+1481.4)/12*2</f>
        <v>821.75</v>
      </c>
      <c r="F15" s="31">
        <f t="shared" ref="F15:N15" si="18">(3449.1+1481.4)/12*1</f>
        <v>410.875</v>
      </c>
      <c r="G15" s="31">
        <f t="shared" si="18"/>
        <v>410.875</v>
      </c>
      <c r="H15" s="31">
        <f t="shared" si="18"/>
        <v>410.875</v>
      </c>
      <c r="I15" s="31">
        <f t="shared" si="18"/>
        <v>410.875</v>
      </c>
      <c r="J15" s="31">
        <f t="shared" si="18"/>
        <v>410.875</v>
      </c>
      <c r="K15" s="31">
        <f t="shared" si="18"/>
        <v>410.875</v>
      </c>
      <c r="L15" s="31">
        <f t="shared" si="18"/>
        <v>410.875</v>
      </c>
      <c r="M15" s="31">
        <f t="shared" si="18"/>
        <v>410.875</v>
      </c>
      <c r="N15" s="31">
        <f t="shared" si="18"/>
        <v>410.875</v>
      </c>
      <c r="O15" s="31">
        <f>3449.1+1481.4-D15-E15-F15-G15-H15-I15-J15-K15-L15-M15-N15</f>
        <v>410.875</v>
      </c>
      <c r="P15" s="30">
        <f t="shared" ref="P15:P18" si="19">SUM(D15:O15)</f>
        <v>4930.5</v>
      </c>
      <c r="BB15" s="28"/>
    </row>
    <row r="16" spans="1:65" ht="15" customHeight="1">
      <c r="A16" s="33"/>
      <c r="B16" s="21" t="s">
        <v>100</v>
      </c>
      <c r="C16" s="4" t="s">
        <v>14</v>
      </c>
      <c r="D16" s="31">
        <f t="shared" ref="D16:N16" si="20">8460/12</f>
        <v>705</v>
      </c>
      <c r="E16" s="31">
        <f t="shared" si="20"/>
        <v>705</v>
      </c>
      <c r="F16" s="31">
        <f t="shared" si="20"/>
        <v>705</v>
      </c>
      <c r="G16" s="31">
        <f t="shared" si="20"/>
        <v>705</v>
      </c>
      <c r="H16" s="31">
        <f t="shared" si="20"/>
        <v>705</v>
      </c>
      <c r="I16" s="31">
        <f t="shared" si="20"/>
        <v>705</v>
      </c>
      <c r="J16" s="31">
        <f t="shared" si="20"/>
        <v>705</v>
      </c>
      <c r="K16" s="31">
        <f t="shared" si="20"/>
        <v>705</v>
      </c>
      <c r="L16" s="31">
        <f t="shared" si="20"/>
        <v>705</v>
      </c>
      <c r="M16" s="31">
        <f t="shared" si="20"/>
        <v>705</v>
      </c>
      <c r="N16" s="31">
        <f t="shared" si="20"/>
        <v>705</v>
      </c>
      <c r="O16" s="31">
        <f>8460-D16-E16-F16-G16-H16-I16-J16-K16-L16-M16-N16</f>
        <v>705</v>
      </c>
      <c r="P16" s="30">
        <f t="shared" si="19"/>
        <v>8460</v>
      </c>
    </row>
    <row r="17" spans="1:65" ht="30.75" customHeight="1">
      <c r="A17" s="33"/>
      <c r="B17" s="21" t="s">
        <v>116</v>
      </c>
      <c r="C17" s="4" t="s">
        <v>115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0">
        <f t="shared" si="19"/>
        <v>0</v>
      </c>
    </row>
    <row r="18" spans="1:65" ht="63" customHeight="1">
      <c r="A18" s="33"/>
      <c r="B18" s="21" t="s">
        <v>104</v>
      </c>
      <c r="C18" s="4" t="s">
        <v>15</v>
      </c>
      <c r="D18" s="31">
        <v>0</v>
      </c>
      <c r="E18" s="31">
        <v>48</v>
      </c>
      <c r="F18" s="31">
        <v>144</v>
      </c>
      <c r="G18" s="31">
        <v>48</v>
      </c>
      <c r="H18" s="31">
        <v>48</v>
      </c>
      <c r="I18" s="31">
        <v>48</v>
      </c>
      <c r="J18" s="31">
        <v>48</v>
      </c>
      <c r="K18" s="31">
        <v>48</v>
      </c>
      <c r="L18" s="31">
        <v>48</v>
      </c>
      <c r="M18" s="31">
        <v>48</v>
      </c>
      <c r="N18" s="31">
        <v>48</v>
      </c>
      <c r="O18" s="31">
        <f>926-N18-L18-M18-K18-J18-I18-H18-G18-F18-E18-D18</f>
        <v>350</v>
      </c>
      <c r="P18" s="30">
        <f t="shared" si="19"/>
        <v>926</v>
      </c>
    </row>
    <row r="19" spans="1:65" ht="13.5" customHeight="1">
      <c r="A19" s="33"/>
      <c r="B19" s="21" t="s">
        <v>18</v>
      </c>
      <c r="C19" s="4" t="s">
        <v>109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0">
        <f t="shared" ref="P19" si="21">SUM(D19:O19)</f>
        <v>0</v>
      </c>
    </row>
    <row r="20" spans="1:65" s="7" customFormat="1" ht="14.25" customHeight="1">
      <c r="A20" s="15" t="s">
        <v>98</v>
      </c>
      <c r="B20" s="20" t="s">
        <v>102</v>
      </c>
      <c r="C20" s="6" t="s">
        <v>86</v>
      </c>
      <c r="D20" s="29">
        <f>D21+D22+D23+D24+D25+D26+D27+D28+D29</f>
        <v>4273.1000000000004</v>
      </c>
      <c r="E20" s="29">
        <f t="shared" ref="E20:O20" si="22">E21+E22+E23+E24+E25+E26+E27+E28+E29</f>
        <v>16096.333189999998</v>
      </c>
      <c r="F20" s="29">
        <f t="shared" si="22"/>
        <v>18414.584179999998</v>
      </c>
      <c r="G20" s="29">
        <f t="shared" si="22"/>
        <v>17205.876490000006</v>
      </c>
      <c r="H20" s="29">
        <f t="shared" si="22"/>
        <v>21270.035759999999</v>
      </c>
      <c r="I20" s="29">
        <f t="shared" si="22"/>
        <v>33501.746460000009</v>
      </c>
      <c r="J20" s="29">
        <f t="shared" si="22"/>
        <v>21934.04548999999</v>
      </c>
      <c r="K20" s="29">
        <f t="shared" si="22"/>
        <v>5724.485809999991</v>
      </c>
      <c r="L20" s="29">
        <f t="shared" si="22"/>
        <v>10938.396570000019</v>
      </c>
      <c r="M20" s="29">
        <f t="shared" si="22"/>
        <v>20031.406230000001</v>
      </c>
      <c r="N20" s="29">
        <f t="shared" si="22"/>
        <v>17264.601599999987</v>
      </c>
      <c r="O20" s="29">
        <f t="shared" si="22"/>
        <v>22360.688219999996</v>
      </c>
      <c r="P20" s="29">
        <f>P21+P22+P23+P24+P25+P26+P27+P28+P29</f>
        <v>209015.29999999996</v>
      </c>
      <c r="BA20" s="28">
        <f>3856.498-D20</f>
        <v>-416.60200000000032</v>
      </c>
      <c r="BB20" s="28">
        <f>19789.62039-E20-D20-2.521*2</f>
        <v>-584.85479999999791</v>
      </c>
      <c r="BC20" s="28">
        <f>37546.95975-F20-E20-D20</f>
        <v>-1237.0576199999941</v>
      </c>
      <c r="BD20" s="28">
        <f>58817.13548-G20-F20-E20-D20-14.8</f>
        <v>2812.4416199999914</v>
      </c>
      <c r="BE20" s="28">
        <f>79609.04671-D20-E20-F20-G20-H20</f>
        <v>2349.1170899999888</v>
      </c>
      <c r="BF20" s="28">
        <f>114206.32157-E20-F20-G20-H20-I20-D20</f>
        <v>3444.6454899999717</v>
      </c>
      <c r="BG20" s="28">
        <f>131148.65429-F20-G20-H20-I20-J20-E20-D20</f>
        <v>-1547.0672800000048</v>
      </c>
      <c r="BH20" s="28">
        <f>141014.98238-G20-H20-I20-J20-K20-F20-E20-D20</f>
        <v>2594.7750000000069</v>
      </c>
      <c r="BI20" s="28">
        <f>157261.91289-H20-I20-J20-K20-L20-G20-F20-E20-D20</f>
        <v>7903.3089399999935</v>
      </c>
      <c r="BJ20" s="28">
        <f>181532.71964-I20-J20-K20-L20-M20-H20-G20-F20-E20-D20+2.521</f>
        <v>12145.23045999999</v>
      </c>
      <c r="BK20" s="28">
        <f>201624.1277-J20-K20-L20-M20-N20-I20-H20-G20-F20-E20-D20</f>
        <v>14969.515920000025</v>
      </c>
    </row>
    <row r="21" spans="1:65" ht="15.75" customHeight="1">
      <c r="A21" s="54"/>
      <c r="B21" s="21" t="s">
        <v>95</v>
      </c>
      <c r="C21" s="4" t="s">
        <v>13</v>
      </c>
      <c r="D21" s="31">
        <v>0</v>
      </c>
      <c r="E21" s="31">
        <f>1050-E15</f>
        <v>228.25</v>
      </c>
      <c r="F21" s="31">
        <f>3271.38789-E21-D21-F15-E15</f>
        <v>1810.51289</v>
      </c>
      <c r="G21" s="31">
        <f>5046.73451-F21-E21-G15-F15-E15</f>
        <v>1364.4716200000003</v>
      </c>
      <c r="H21" s="31">
        <f>7395.60814-G21-F21-E21-H15-G15-F15-E15</f>
        <v>1937.99863</v>
      </c>
      <c r="I21" s="31">
        <f>8538.25732-D15-E15-F15-G15-H15-I15-D21-E21-F21-G21-H21</f>
        <v>731.77418000000034</v>
      </c>
      <c r="J21" s="31">
        <f>10200.36942-E15-F15-G15-H15-I15-J15-E21-F21-G21-H21-I21-D21-D15</f>
        <v>1251.2371000000003</v>
      </c>
      <c r="K21" s="31">
        <f>12072.40812-F15-G15-H15-I15-J15-K15-F21-G21-H21-I21-J21-E21-E15-D21-D15</f>
        <v>1461.1636999999992</v>
      </c>
      <c r="L21" s="31">
        <f>13593.00773-G15-H15-I15-J15-K15-L15-G21-H21-I21-J21-K21-F21-F15-E21-E15-D21-D15</f>
        <v>1109.7246099999993</v>
      </c>
      <c r="M21" s="31">
        <f>17924.87068-H15-I15-J15-K15-L15-M15-H21-I21-J21-K21-L21-G21-G15-F21-F15-E21-E15-D21-D15</f>
        <v>3920.9879500000006</v>
      </c>
      <c r="N21" s="31">
        <f>20684.76039-I15-J15-K15-L15-M15-N15-I21-J21-K21-L21-M21-H21-H15-G21-G15-F21-F15-E21-E15-D21-D15-K17</f>
        <v>2349.0147099999995</v>
      </c>
      <c r="O21" s="31">
        <f>24934.5-N21-M21-L21-K21-J21-I21-H21-G21-F21-E21-D21-P15</f>
        <v>3838.8646100000042</v>
      </c>
      <c r="P21" s="30">
        <f>SUM(D21:O21)</f>
        <v>20004.000000000004</v>
      </c>
      <c r="BC21" s="28"/>
    </row>
    <row r="22" spans="1:65" ht="15.75" customHeight="1">
      <c r="A22" s="54"/>
      <c r="B22" s="21" t="s">
        <v>96</v>
      </c>
      <c r="C22" s="4" t="s">
        <v>14</v>
      </c>
      <c r="D22" s="31">
        <f>8756-3777.9-D16</f>
        <v>4273.1000000000004</v>
      </c>
      <c r="E22" s="31">
        <f>24041.58319-2490.4-D22-E16-D16</f>
        <v>15868.083189999998</v>
      </c>
      <c r="F22" s="31">
        <f>40505.65448-1645.4-D22-E22-F16-E16-D16</f>
        <v>16604.07129</v>
      </c>
      <c r="G22" s="31">
        <f>56149.55935-742.9-E22-F22-D22-G16-F16-E16-D16</f>
        <v>15841.404870000006</v>
      </c>
      <c r="H22" s="31">
        <f>78154.99648-2711.3-F22-G22-E22-D22-H16-G16-F16-E16-D16</f>
        <v>19332.037129999997</v>
      </c>
      <c r="I22" s="31">
        <f>109281.66876-363-G22-H22-F22-E22-I16-H16-G16-F16-E16-D22-D16</f>
        <v>32769.972280000009</v>
      </c>
      <c r="J22" s="31">
        <f>126499.47715+3807-H22-I22-G22-F22-J16-I16-H16-G16-F16-E22-E16-D22-D16</f>
        <v>20682.808389999991</v>
      </c>
      <c r="K22" s="31">
        <f>135049.09926+225.7-I22-J22-H22-G22-K16-J16-I16-H16-G16-F22-F16-E22-E16-D22-D16</f>
        <v>4263.3221099999919</v>
      </c>
      <c r="L22" s="31">
        <f>146078.77122-270.3-J22-K22-I22-H22-L16-K16-J16-I16-H16-G22-G16-F22-F16-E22-E16-D22-D16</f>
        <v>9828.6719600000197</v>
      </c>
      <c r="M22" s="31">
        <f>162623.8895-K22-L22-J22-I22-M16-L16-K16-J16-I16-H22-H16-G22-G16-F22-F16-E22-E16-D22-D16</f>
        <v>16110.418279999998</v>
      </c>
      <c r="N22" s="31">
        <f>178240.57639+3.9-L22-M22-K22-J22-N16-M16-L16-K16-J16-I22-I16-H22-H16-G22-G16-F22-F16-E22-E16-D22-D16</f>
        <v>14915.58688999999</v>
      </c>
      <c r="O22" s="31">
        <f>197471.3-P16-D22-E22-F22-G22-H22-I22-J22-K22-L22-M22-N22</f>
        <v>18521.823609999992</v>
      </c>
      <c r="P22" s="30">
        <f>SUM(D22:O22)</f>
        <v>189011.29999999996</v>
      </c>
    </row>
    <row r="23" spans="1:65" ht="15.75" customHeight="1">
      <c r="A23" s="54"/>
      <c r="B23" s="21" t="s">
        <v>97</v>
      </c>
      <c r="C23" s="4" t="s">
        <v>15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0">
        <f t="shared" si="5"/>
        <v>0</v>
      </c>
    </row>
    <row r="24" spans="1:65" ht="30.75" customHeight="1">
      <c r="A24" s="33"/>
      <c r="B24" s="34" t="s">
        <v>16</v>
      </c>
      <c r="C24" s="4" t="s">
        <v>17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0">
        <f t="shared" ref="P24:P73" si="23">SUM(D24:O24)</f>
        <v>0</v>
      </c>
    </row>
    <row r="25" spans="1:65" ht="13.5" customHeight="1">
      <c r="A25" s="54"/>
      <c r="B25" s="55" t="s">
        <v>18</v>
      </c>
      <c r="C25" s="4" t="s">
        <v>19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0">
        <f t="shared" si="23"/>
        <v>0</v>
      </c>
    </row>
    <row r="26" spans="1:65" ht="13.5" customHeight="1">
      <c r="A26" s="54"/>
      <c r="B26" s="55"/>
      <c r="C26" s="4" t="s">
        <v>20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0">
        <f t="shared" si="23"/>
        <v>0</v>
      </c>
    </row>
    <row r="27" spans="1:65" ht="14.25" customHeight="1">
      <c r="A27" s="54"/>
      <c r="B27" s="55"/>
      <c r="C27" s="4" t="s">
        <v>21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0">
        <f t="shared" si="23"/>
        <v>0</v>
      </c>
    </row>
    <row r="28" spans="1:65" ht="13.5" customHeight="1">
      <c r="A28" s="54"/>
      <c r="B28" s="55"/>
      <c r="C28" s="4" t="s">
        <v>22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0">
        <f t="shared" si="23"/>
        <v>0</v>
      </c>
    </row>
    <row r="29" spans="1:65" ht="15" customHeight="1">
      <c r="A29" s="33"/>
      <c r="B29" s="34" t="s">
        <v>23</v>
      </c>
      <c r="C29" s="4"/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0">
        <f t="shared" si="23"/>
        <v>0</v>
      </c>
    </row>
    <row r="30" spans="1:65" s="7" customFormat="1" ht="15" customHeight="1">
      <c r="A30" s="15" t="s">
        <v>24</v>
      </c>
      <c r="B30" s="19" t="s">
        <v>25</v>
      </c>
      <c r="C30" s="6" t="s">
        <v>86</v>
      </c>
      <c r="D30" s="29">
        <f t="shared" ref="D30:O30" si="24">D31+D44</f>
        <v>20554.511729999998</v>
      </c>
      <c r="E30" s="29">
        <f t="shared" si="24"/>
        <v>30212.978990000003</v>
      </c>
      <c r="F30" s="29">
        <f t="shared" si="24"/>
        <v>44522.330329999997</v>
      </c>
      <c r="G30" s="29">
        <f t="shared" si="24"/>
        <v>35438.929929999998</v>
      </c>
      <c r="H30" s="29">
        <f t="shared" si="24"/>
        <v>40009.84102</v>
      </c>
      <c r="I30" s="29">
        <f t="shared" si="24"/>
        <v>52680.117460000001</v>
      </c>
      <c r="J30" s="29">
        <f t="shared" si="24"/>
        <v>41684.187539999999</v>
      </c>
      <c r="K30" s="29">
        <f t="shared" si="24"/>
        <v>24063.092989999997</v>
      </c>
      <c r="L30" s="29">
        <f t="shared" si="24"/>
        <v>30748.236639999999</v>
      </c>
      <c r="M30" s="29">
        <f t="shared" si="24"/>
        <v>40857.961320000002</v>
      </c>
      <c r="N30" s="29">
        <f t="shared" si="24"/>
        <v>37819.054199999999</v>
      </c>
      <c r="O30" s="29">
        <f t="shared" si="24"/>
        <v>65798.343160000019</v>
      </c>
      <c r="P30" s="30">
        <f t="shared" si="23"/>
        <v>464389.58530999999</v>
      </c>
    </row>
    <row r="31" spans="1:65" s="7" customFormat="1" ht="79.5" customHeight="1">
      <c r="A31" s="15" t="s">
        <v>26</v>
      </c>
      <c r="B31" s="22" t="s">
        <v>106</v>
      </c>
      <c r="C31" s="6" t="s">
        <v>86</v>
      </c>
      <c r="D31" s="29">
        <f t="shared" ref="D31:O31" si="25">SUM(D32:D43)</f>
        <v>16281.436729999999</v>
      </c>
      <c r="E31" s="29">
        <f t="shared" si="25"/>
        <v>14116.648000000001</v>
      </c>
      <c r="F31" s="29">
        <f t="shared" si="25"/>
        <v>26107.718000000001</v>
      </c>
      <c r="G31" s="29">
        <f t="shared" si="25"/>
        <v>18233.032489999998</v>
      </c>
      <c r="H31" s="29">
        <f t="shared" si="25"/>
        <v>18739.832119999999</v>
      </c>
      <c r="I31" s="29">
        <f t="shared" si="25"/>
        <v>19178.38291</v>
      </c>
      <c r="J31" s="29">
        <f t="shared" si="25"/>
        <v>19750.148959999999</v>
      </c>
      <c r="K31" s="29">
        <f t="shared" si="25"/>
        <v>18338.647639999999</v>
      </c>
      <c r="L31" s="29">
        <f t="shared" si="25"/>
        <v>19809.93664</v>
      </c>
      <c r="M31" s="29">
        <f t="shared" si="25"/>
        <v>20826.511839999999</v>
      </c>
      <c r="N31" s="29">
        <f t="shared" si="25"/>
        <v>20554.448</v>
      </c>
      <c r="O31" s="29">
        <f t="shared" si="25"/>
        <v>43437.539180000022</v>
      </c>
      <c r="P31" s="30">
        <f>SUM(D31:O31)</f>
        <v>255374.28251000005</v>
      </c>
      <c r="BA31" s="28">
        <f>D10-D31</f>
        <v>-2.0063333333382616E-2</v>
      </c>
      <c r="BB31" s="28">
        <f t="shared" ref="BB31:BL31" si="26">E10-E31</f>
        <v>-1.3933333357272204E-3</v>
      </c>
      <c r="BC31" s="28">
        <f t="shared" si="26"/>
        <v>2.3156666662544012E-2</v>
      </c>
      <c r="BD31" s="28">
        <f t="shared" si="26"/>
        <v>3.6876666665193625E-2</v>
      </c>
      <c r="BE31" s="28">
        <f t="shared" si="26"/>
        <v>-2.100333333510207E-2</v>
      </c>
      <c r="BF31" s="28">
        <f t="shared" si="26"/>
        <v>-3.1723333333502524E-2</v>
      </c>
      <c r="BG31" s="28">
        <f t="shared" si="26"/>
        <v>-1.8453333323122934E-2</v>
      </c>
      <c r="BH31" s="28">
        <f t="shared" si="26"/>
        <v>-4.8323333339794772E-2</v>
      </c>
      <c r="BI31" s="28">
        <f t="shared" si="26"/>
        <v>-3.7643333314917982E-2</v>
      </c>
      <c r="BJ31" s="28">
        <f t="shared" si="26"/>
        <v>1.8446666661475319E-2</v>
      </c>
      <c r="BK31" s="28">
        <f t="shared" si="26"/>
        <v>-2.4293333332025213E-2</v>
      </c>
      <c r="BL31" s="42">
        <f t="shared" si="26"/>
        <v>-10449.458093333378</v>
      </c>
      <c r="BM31" s="7" t="s">
        <v>121</v>
      </c>
    </row>
    <row r="32" spans="1:65" ht="29.25" customHeight="1">
      <c r="A32" s="33"/>
      <c r="B32" s="34" t="s">
        <v>79</v>
      </c>
      <c r="C32" s="4" t="s">
        <v>86</v>
      </c>
      <c r="D32" s="31">
        <f>8928-3975.6</f>
        <v>4952.3999999999996</v>
      </c>
      <c r="E32" s="31">
        <v>5532.9</v>
      </c>
      <c r="F32" s="31">
        <v>8247</v>
      </c>
      <c r="G32" s="31">
        <f>5874</f>
        <v>5874</v>
      </c>
      <c r="H32" s="31">
        <v>7587</v>
      </c>
      <c r="I32" s="31">
        <v>6257</v>
      </c>
      <c r="J32" s="31">
        <v>7587</v>
      </c>
      <c r="K32" s="31">
        <v>10056</v>
      </c>
      <c r="L32" s="31">
        <v>4878</v>
      </c>
      <c r="M32" s="31">
        <v>5848</v>
      </c>
      <c r="N32" s="31">
        <v>5983</v>
      </c>
      <c r="O32" s="31">
        <f>86165.3797-D32-E32-F32-G32-H32-I32-J32-K32-L32-M32-N32</f>
        <v>13363.079700000017</v>
      </c>
      <c r="P32" s="30">
        <f t="shared" ref="P32:P41" si="27">SUM(D32:O32)</f>
        <v>86165.37970000002</v>
      </c>
      <c r="BA32" s="28">
        <f>D20-D44</f>
        <v>2.5000000000545697E-2</v>
      </c>
      <c r="BB32" s="28">
        <f t="shared" ref="BB32:BL32" si="28">E20-E44</f>
        <v>2.1999999971740181E-3</v>
      </c>
      <c r="BC32" s="28">
        <f t="shared" si="28"/>
        <v>-2.8150000001915032E-2</v>
      </c>
      <c r="BD32" s="28">
        <f t="shared" si="28"/>
        <v>-2.0949999994627433E-2</v>
      </c>
      <c r="BE32" s="28">
        <f t="shared" si="28"/>
        <v>2.6859999998123385E-2</v>
      </c>
      <c r="BF32" s="28">
        <f t="shared" si="28"/>
        <v>1.1910000008356292E-2</v>
      </c>
      <c r="BG32" s="28">
        <f t="shared" si="28"/>
        <v>6.9099999891477637E-3</v>
      </c>
      <c r="BH32" s="28">
        <f t="shared" si="28"/>
        <v>4.0459999991071527E-2</v>
      </c>
      <c r="BI32" s="28">
        <f t="shared" si="28"/>
        <v>9.6570000019710278E-2</v>
      </c>
      <c r="BJ32" s="28">
        <f t="shared" si="28"/>
        <v>-4.3249999998806743E-2</v>
      </c>
      <c r="BK32" s="28">
        <f t="shared" si="28"/>
        <v>-4.600000011123484E-3</v>
      </c>
      <c r="BL32" s="28">
        <f t="shared" si="28"/>
        <v>-0.11575999999331543</v>
      </c>
      <c r="BM32" s="1" t="s">
        <v>122</v>
      </c>
    </row>
    <row r="33" spans="1:16" ht="29.25" customHeight="1">
      <c r="A33" s="33"/>
      <c r="B33" s="34" t="s">
        <v>80</v>
      </c>
      <c r="C33" s="4" t="s">
        <v>86</v>
      </c>
      <c r="D33" s="31">
        <f>3659-1000</f>
        <v>2659</v>
      </c>
      <c r="E33" s="31">
        <f>2157-500</f>
        <v>1657</v>
      </c>
      <c r="F33" s="31">
        <v>3487</v>
      </c>
      <c r="G33" s="31">
        <v>1758</v>
      </c>
      <c r="H33" s="31">
        <v>2354</v>
      </c>
      <c r="I33" s="31">
        <v>1745</v>
      </c>
      <c r="J33" s="31">
        <v>2418</v>
      </c>
      <c r="K33" s="31">
        <v>3354</v>
      </c>
      <c r="L33" s="31">
        <v>2341</v>
      </c>
      <c r="M33" s="31">
        <v>2947</v>
      </c>
      <c r="N33" s="31">
        <v>1987</v>
      </c>
      <c r="O33" s="31">
        <f>29675.001-D33-E33-F33-G33-H33-I33-J33-K33-L33-M33-N33</f>
        <v>2968.0010000000002</v>
      </c>
      <c r="P33" s="30">
        <f t="shared" si="27"/>
        <v>29675.001</v>
      </c>
    </row>
    <row r="34" spans="1:16" ht="42.75" customHeight="1">
      <c r="A34" s="33"/>
      <c r="B34" s="34" t="s">
        <v>81</v>
      </c>
      <c r="C34" s="4" t="s">
        <v>86</v>
      </c>
      <c r="D34" s="31">
        <f>2687-2000</f>
        <v>687</v>
      </c>
      <c r="E34" s="31">
        <v>354</v>
      </c>
      <c r="F34" s="31">
        <v>7874</v>
      </c>
      <c r="G34" s="31">
        <f>5072.88449-674.6</f>
        <v>4398.28449</v>
      </c>
      <c r="H34" s="31">
        <f>1507.21412+672.9</f>
        <v>2180.1141200000002</v>
      </c>
      <c r="I34" s="31">
        <f>4026.83491+574.8</f>
        <v>4601.6349099999998</v>
      </c>
      <c r="J34" s="31">
        <f>5142.03096-2461.6</f>
        <v>2680.4309600000001</v>
      </c>
      <c r="K34" s="31">
        <f>1741.79964-894.9</f>
        <v>846.89963999999998</v>
      </c>
      <c r="L34" s="31">
        <f>1845.58864+7056.6</f>
        <v>8902.1886400000003</v>
      </c>
      <c r="M34" s="31">
        <f>3563.09384+2794.7</f>
        <v>6357.7938400000003</v>
      </c>
      <c r="N34" s="31">
        <f>7706-1098.3</f>
        <v>6607.7</v>
      </c>
      <c r="O34" s="31">
        <f>64900.32444+718.28531-D34-E34-F34-G34-H34-I34-J34-K34-L34-M34-N34+250</f>
        <v>20378.563150000005</v>
      </c>
      <c r="P34" s="30">
        <f t="shared" si="27"/>
        <v>65868.609750000003</v>
      </c>
    </row>
    <row r="35" spans="1:16" ht="29.25" customHeight="1">
      <c r="A35" s="33"/>
      <c r="B35" s="34" t="s">
        <v>82</v>
      </c>
      <c r="C35" s="4" t="s">
        <v>86</v>
      </c>
      <c r="D35" s="31">
        <v>365.06799999999998</v>
      </c>
      <c r="E35" s="31">
        <v>365.06799999999998</v>
      </c>
      <c r="F35" s="31">
        <v>365.06799999999998</v>
      </c>
      <c r="G35" s="31">
        <v>365.06799999999998</v>
      </c>
      <c r="H35" s="31">
        <v>365.06799999999998</v>
      </c>
      <c r="I35" s="31">
        <v>365.06799999999998</v>
      </c>
      <c r="J35" s="31">
        <v>365.06799999999998</v>
      </c>
      <c r="K35" s="31">
        <v>365.06799999999998</v>
      </c>
      <c r="L35" s="31">
        <v>365.06799999999998</v>
      </c>
      <c r="M35" s="31">
        <v>365.06799999999998</v>
      </c>
      <c r="N35" s="31">
        <v>365.06799999999998</v>
      </c>
      <c r="O35" s="31">
        <f>4546.424-D35-E35-F35-G35-H35-I35-J35-K35-L35-M35-N35</f>
        <v>530.67599999999879</v>
      </c>
      <c r="P35" s="30">
        <f t="shared" si="27"/>
        <v>4546.4239999999991</v>
      </c>
    </row>
    <row r="36" spans="1:16" ht="29.25" customHeight="1">
      <c r="A36" s="33"/>
      <c r="B36" s="34" t="s">
        <v>87</v>
      </c>
      <c r="C36" s="4"/>
      <c r="D36" s="31">
        <v>0</v>
      </c>
      <c r="E36" s="31">
        <v>0</v>
      </c>
      <c r="F36" s="31">
        <v>0</v>
      </c>
      <c r="G36" s="31">
        <v>54</v>
      </c>
      <c r="H36" s="31">
        <v>47</v>
      </c>
      <c r="I36" s="31">
        <v>24</v>
      </c>
      <c r="J36" s="31">
        <v>15</v>
      </c>
      <c r="K36" s="31">
        <v>0</v>
      </c>
      <c r="L36" s="31">
        <v>7</v>
      </c>
      <c r="M36" s="31">
        <v>4</v>
      </c>
      <c r="N36" s="31">
        <v>8</v>
      </c>
      <c r="O36" s="31">
        <f>169.668-D36-E36-F36-G36-H36-I36-J36-K36-L36-M36-N36</f>
        <v>10.668000000000006</v>
      </c>
      <c r="P36" s="30">
        <f t="shared" si="27"/>
        <v>169.66800000000001</v>
      </c>
    </row>
    <row r="37" spans="1:16" ht="14.25" customHeight="1">
      <c r="A37" s="33"/>
      <c r="B37" s="34" t="s">
        <v>83</v>
      </c>
      <c r="C37" s="4" t="s">
        <v>86</v>
      </c>
      <c r="D37" s="31">
        <v>1356</v>
      </c>
      <c r="E37" s="31">
        <v>1356</v>
      </c>
      <c r="F37" s="31">
        <v>1356</v>
      </c>
      <c r="G37" s="31">
        <v>1356</v>
      </c>
      <c r="H37" s="31">
        <v>1356</v>
      </c>
      <c r="I37" s="31">
        <v>1356</v>
      </c>
      <c r="J37" s="31">
        <v>1356</v>
      </c>
      <c r="K37" s="31">
        <v>1356</v>
      </c>
      <c r="L37" s="31">
        <v>1356</v>
      </c>
      <c r="M37" s="31">
        <v>1356</v>
      </c>
      <c r="N37" s="31">
        <v>1356</v>
      </c>
      <c r="O37" s="31">
        <f>16261-D37-E37-F37-G37-H37-I37-J37-K37-L37-M37-N37</f>
        <v>1345</v>
      </c>
      <c r="P37" s="30">
        <f t="shared" si="27"/>
        <v>16261</v>
      </c>
    </row>
    <row r="38" spans="1:16" ht="16.5" customHeight="1">
      <c r="A38" s="33"/>
      <c r="B38" s="34" t="s">
        <v>111</v>
      </c>
      <c r="C38" s="4" t="s">
        <v>86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f>0-D38-E38-F38-G38-H38-I38-J38-K38-L38-M38-N38</f>
        <v>0</v>
      </c>
      <c r="P38" s="30">
        <f>SUM(D38:O38)</f>
        <v>0</v>
      </c>
    </row>
    <row r="39" spans="1:16" ht="13.5" customHeight="1">
      <c r="A39" s="33"/>
      <c r="B39" s="34" t="s">
        <v>89</v>
      </c>
      <c r="C39" s="4" t="s">
        <v>86</v>
      </c>
      <c r="D39" s="31">
        <v>3606</v>
      </c>
      <c r="E39" s="31">
        <f>5478-1000</f>
        <v>4478</v>
      </c>
      <c r="F39" s="31">
        <f>3987+430</f>
        <v>4417</v>
      </c>
      <c r="G39" s="31">
        <v>4054</v>
      </c>
      <c r="H39" s="31">
        <v>4489</v>
      </c>
      <c r="I39" s="31">
        <v>4456</v>
      </c>
      <c r="J39" s="31">
        <v>4567</v>
      </c>
      <c r="K39" s="31">
        <v>1987</v>
      </c>
      <c r="L39" s="31">
        <v>1587</v>
      </c>
      <c r="M39" s="31">
        <v>3587</v>
      </c>
      <c r="N39" s="31">
        <v>3874</v>
      </c>
      <c r="O39" s="31">
        <f>45212.341-D39-E39-F39-G39-H39-I39-J39-K39-L39-M39-N39</f>
        <v>4110.3410000000003</v>
      </c>
      <c r="P39" s="30">
        <f t="shared" si="27"/>
        <v>45212.341</v>
      </c>
    </row>
    <row r="40" spans="1:16" ht="13.5" customHeight="1">
      <c r="A40" s="33"/>
      <c r="B40" s="34" t="s">
        <v>84</v>
      </c>
      <c r="C40" s="4" t="s">
        <v>86</v>
      </c>
      <c r="D40" s="31">
        <v>373.68</v>
      </c>
      <c r="E40" s="31">
        <v>373.68</v>
      </c>
      <c r="F40" s="31">
        <v>361.65</v>
      </c>
      <c r="G40" s="31">
        <v>373.68</v>
      </c>
      <c r="H40" s="31">
        <v>361.65</v>
      </c>
      <c r="I40" s="31">
        <v>373.68</v>
      </c>
      <c r="J40" s="31">
        <v>761.65</v>
      </c>
      <c r="K40" s="31">
        <v>373.68</v>
      </c>
      <c r="L40" s="31">
        <v>373.68</v>
      </c>
      <c r="M40" s="31">
        <v>361.65</v>
      </c>
      <c r="N40" s="31">
        <v>373.68</v>
      </c>
      <c r="O40" s="31">
        <f>5173.57033-D40-E40-F40-G40-H40-I40-J40-K40-L40-M40-N40</f>
        <v>711.21032999999875</v>
      </c>
      <c r="P40" s="30">
        <f t="shared" si="27"/>
        <v>5173.5703299999986</v>
      </c>
    </row>
    <row r="41" spans="1:16" ht="61.5" customHeight="1">
      <c r="A41" s="33"/>
      <c r="B41" s="34" t="s">
        <v>85</v>
      </c>
      <c r="C41" s="4" t="s">
        <v>86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20</v>
      </c>
      <c r="P41" s="30">
        <f t="shared" si="27"/>
        <v>20</v>
      </c>
    </row>
    <row r="42" spans="1:16" ht="16.5" customHeight="1">
      <c r="A42" s="33"/>
      <c r="B42" s="34" t="s">
        <v>103</v>
      </c>
      <c r="C42" s="4" t="s">
        <v>86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f>0-D42-E42-F42-G42-H42-I42-J42-K42-L42-M42-N42</f>
        <v>0</v>
      </c>
      <c r="P42" s="30">
        <f>SUM(D42:O42)</f>
        <v>0</v>
      </c>
    </row>
    <row r="43" spans="1:16" ht="15.75" customHeight="1">
      <c r="A43" s="33"/>
      <c r="B43" s="34" t="s">
        <v>110</v>
      </c>
      <c r="C43" s="4" t="s">
        <v>86</v>
      </c>
      <c r="D43" s="31">
        <v>2282.2887300000002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f>2282.28873-D43-E43-F43-G43-H43-I43-J43-K43-L43-M43-N43</f>
        <v>0</v>
      </c>
      <c r="P43" s="30">
        <f t="shared" ref="P43" si="29">SUM(D43:O43)</f>
        <v>2282.2887300000002</v>
      </c>
    </row>
    <row r="44" spans="1:16" s="7" customFormat="1" ht="93.75" customHeight="1">
      <c r="A44" s="15" t="s">
        <v>27</v>
      </c>
      <c r="B44" s="22" t="s">
        <v>105</v>
      </c>
      <c r="C44" s="6" t="s">
        <v>86</v>
      </c>
      <c r="D44" s="29">
        <f t="shared" ref="D44:J44" si="30">SUM(D45:D53)</f>
        <v>4273.0749999999998</v>
      </c>
      <c r="E44" s="29">
        <f t="shared" si="30"/>
        <v>16096.33099</v>
      </c>
      <c r="F44" s="29">
        <f t="shared" si="30"/>
        <v>18414.61233</v>
      </c>
      <c r="G44" s="29">
        <f t="shared" si="30"/>
        <v>17205.897440000001</v>
      </c>
      <c r="H44" s="29">
        <f t="shared" si="30"/>
        <v>21270.008900000001</v>
      </c>
      <c r="I44" s="29">
        <f t="shared" si="30"/>
        <v>33501.734550000001</v>
      </c>
      <c r="J44" s="29">
        <f t="shared" si="30"/>
        <v>21934.03858</v>
      </c>
      <c r="K44" s="29">
        <f>SUM(K45:K54)</f>
        <v>5724.44535</v>
      </c>
      <c r="L44" s="29">
        <f t="shared" ref="L44:O44" si="31">SUM(L45:L54)</f>
        <v>10938.3</v>
      </c>
      <c r="M44" s="29">
        <f t="shared" si="31"/>
        <v>20031.449479999999</v>
      </c>
      <c r="N44" s="29">
        <f t="shared" si="31"/>
        <v>17264.606199999998</v>
      </c>
      <c r="O44" s="29">
        <f t="shared" si="31"/>
        <v>22360.80397999999</v>
      </c>
      <c r="P44" s="30">
        <f t="shared" ref="P44:P53" si="32">SUM(D44:O44)</f>
        <v>209015.3028</v>
      </c>
    </row>
    <row r="45" spans="1:16" ht="30" customHeight="1">
      <c r="A45" s="33"/>
      <c r="B45" s="34" t="s">
        <v>79</v>
      </c>
      <c r="C45" s="4" t="s">
        <v>86</v>
      </c>
      <c r="D45" s="31">
        <v>3785</v>
      </c>
      <c r="E45" s="31">
        <v>15358</v>
      </c>
      <c r="F45" s="31">
        <v>15871</v>
      </c>
      <c r="G45" s="31">
        <v>15017</v>
      </c>
      <c r="H45" s="31">
        <v>18524</v>
      </c>
      <c r="I45" s="31">
        <v>31587</v>
      </c>
      <c r="J45" s="31">
        <v>15874</v>
      </c>
      <c r="K45" s="31">
        <v>4627</v>
      </c>
      <c r="L45" s="31">
        <v>9587</v>
      </c>
      <c r="M45" s="31">
        <v>15221</v>
      </c>
      <c r="N45" s="31">
        <v>15007</v>
      </c>
      <c r="O45" s="31">
        <f>181012.9-D45-E45-F45-G45-H45-I45-J45-K45-L45-M45-N45</f>
        <v>20554.899999999994</v>
      </c>
      <c r="P45" s="30">
        <f t="shared" si="32"/>
        <v>181012.9</v>
      </c>
    </row>
    <row r="46" spans="1:16" ht="30" customHeight="1">
      <c r="A46" s="33"/>
      <c r="B46" s="34" t="s">
        <v>80</v>
      </c>
      <c r="C46" s="4" t="s">
        <v>86</v>
      </c>
      <c r="D46" s="31">
        <v>31</v>
      </c>
      <c r="E46" s="31">
        <v>169</v>
      </c>
      <c r="F46" s="31">
        <v>211</v>
      </c>
      <c r="G46" s="31">
        <v>156</v>
      </c>
      <c r="H46" s="31">
        <v>289</v>
      </c>
      <c r="I46" s="31">
        <v>357</v>
      </c>
      <c r="J46" s="31">
        <v>118</v>
      </c>
      <c r="K46" s="31">
        <v>104</v>
      </c>
      <c r="L46" s="31">
        <v>158</v>
      </c>
      <c r="M46" s="31">
        <v>153</v>
      </c>
      <c r="N46" s="31">
        <v>185</v>
      </c>
      <c r="O46" s="31">
        <f>2241.77-D46-E46-F46-G46-H46-I46-J46-K46-L46-M46-N46</f>
        <v>310.77</v>
      </c>
      <c r="P46" s="30">
        <f t="shared" si="32"/>
        <v>2241.77</v>
      </c>
    </row>
    <row r="47" spans="1:16" ht="48.75" customHeight="1">
      <c r="A47" s="33"/>
      <c r="B47" s="34" t="s">
        <v>81</v>
      </c>
      <c r="C47" s="4" t="s">
        <v>86</v>
      </c>
      <c r="D47" s="31">
        <v>58.7</v>
      </c>
      <c r="E47" s="31">
        <v>133.33099000000001</v>
      </c>
      <c r="F47" s="31">
        <v>1345.6123299999999</v>
      </c>
      <c r="G47" s="31">
        <v>1376.02244</v>
      </c>
      <c r="H47" s="31">
        <v>1097.0089</v>
      </c>
      <c r="I47" s="31">
        <v>1082.7345499999999</v>
      </c>
      <c r="J47" s="31">
        <v>1154.7607800000001</v>
      </c>
      <c r="K47" s="31">
        <f>335.44535</f>
        <v>335.44535000000002</v>
      </c>
      <c r="L47" s="31">
        <v>803.3</v>
      </c>
      <c r="M47" s="31">
        <f>2639.17448+14.8</f>
        <v>2653.9744800000003</v>
      </c>
      <c r="N47" s="31">
        <v>1483.6061999999999</v>
      </c>
      <c r="O47" s="31">
        <f>11918.73-D47-E47-F47-G47-H47-I47-J47-K47-L47-M47-N47</f>
        <v>394.23397999999702</v>
      </c>
      <c r="P47" s="30">
        <f t="shared" si="32"/>
        <v>11918.729999999998</v>
      </c>
    </row>
    <row r="48" spans="1:16" ht="30" customHeight="1">
      <c r="A48" s="33"/>
      <c r="B48" s="34" t="s">
        <v>87</v>
      </c>
      <c r="C48" s="4" t="s">
        <v>86</v>
      </c>
      <c r="D48" s="31">
        <v>43.5</v>
      </c>
      <c r="E48" s="31">
        <v>436</v>
      </c>
      <c r="F48" s="31">
        <v>987</v>
      </c>
      <c r="G48" s="31">
        <v>302</v>
      </c>
      <c r="H48" s="31">
        <v>610</v>
      </c>
      <c r="I48" s="31">
        <v>475</v>
      </c>
      <c r="J48" s="31">
        <v>4432.4027999999998</v>
      </c>
      <c r="K48" s="31">
        <v>658</v>
      </c>
      <c r="L48" s="31">
        <v>390</v>
      </c>
      <c r="M48" s="31">
        <v>611</v>
      </c>
      <c r="N48" s="31">
        <v>589</v>
      </c>
      <c r="O48" s="31">
        <f>10634.8028-D48-E48-F48-G48-H48-I48-J48-K48-L48-M48-N48</f>
        <v>1100.8999999999996</v>
      </c>
      <c r="P48" s="30">
        <f t="shared" si="32"/>
        <v>10634.802799999999</v>
      </c>
    </row>
    <row r="49" spans="1:57" ht="15" customHeight="1">
      <c r="A49" s="33"/>
      <c r="B49" s="34" t="s">
        <v>88</v>
      </c>
      <c r="C49" s="4" t="s">
        <v>86</v>
      </c>
      <c r="D49" s="31">
        <v>0</v>
      </c>
      <c r="E49" s="31">
        <v>0</v>
      </c>
      <c r="F49" s="31">
        <v>0</v>
      </c>
      <c r="G49" s="31">
        <v>0</v>
      </c>
      <c r="H49" s="31">
        <v>750</v>
      </c>
      <c r="I49" s="31">
        <v>0</v>
      </c>
      <c r="J49" s="31">
        <v>0</v>
      </c>
      <c r="K49" s="31">
        <v>0</v>
      </c>
      <c r="L49" s="31">
        <v>0</v>
      </c>
      <c r="M49" s="31">
        <v>1037.5999999999999</v>
      </c>
      <c r="N49" s="31">
        <v>0</v>
      </c>
      <c r="O49" s="31">
        <f>1787.6-N49-M49-L49-K49-J49-I49-H49-G49-F49-E49-D49</f>
        <v>0</v>
      </c>
      <c r="P49" s="30">
        <f t="shared" si="32"/>
        <v>1787.6</v>
      </c>
    </row>
    <row r="50" spans="1:57" ht="15" customHeight="1">
      <c r="A50" s="33"/>
      <c r="B50" s="34" t="s">
        <v>83</v>
      </c>
      <c r="C50" s="4" t="s">
        <v>86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f>0-N50-M50-L50-K50-J50-I50-H50-G50-F50-E50-D50</f>
        <v>0</v>
      </c>
      <c r="P50" s="30">
        <f t="shared" si="32"/>
        <v>0</v>
      </c>
    </row>
    <row r="51" spans="1:57" ht="15" customHeight="1">
      <c r="A51" s="33"/>
      <c r="B51" s="34" t="s">
        <v>90</v>
      </c>
      <c r="C51" s="4" t="s">
        <v>86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f>0-N51-M51-L51-K51-J51-I51-H51-G51-F51-E51-D51</f>
        <v>0</v>
      </c>
      <c r="P51" s="30">
        <f t="shared" si="32"/>
        <v>0</v>
      </c>
    </row>
    <row r="52" spans="1:57" ht="15" customHeight="1">
      <c r="A52" s="33"/>
      <c r="B52" s="34" t="s">
        <v>91</v>
      </c>
      <c r="C52" s="4" t="s">
        <v>86</v>
      </c>
      <c r="D52" s="31">
        <v>354.875</v>
      </c>
      <c r="E52" s="31">
        <v>0</v>
      </c>
      <c r="F52" s="31">
        <f t="shared" ref="F52:L52" si="33">E52</f>
        <v>0</v>
      </c>
      <c r="G52" s="31">
        <v>354.875</v>
      </c>
      <c r="H52" s="31">
        <v>0</v>
      </c>
      <c r="I52" s="31">
        <f t="shared" si="33"/>
        <v>0</v>
      </c>
      <c r="J52" s="31">
        <v>354.875</v>
      </c>
      <c r="K52" s="31">
        <v>0</v>
      </c>
      <c r="L52" s="31">
        <f t="shared" si="33"/>
        <v>0</v>
      </c>
      <c r="M52" s="31">
        <v>354.875</v>
      </c>
      <c r="N52" s="31">
        <v>0</v>
      </c>
      <c r="O52" s="31">
        <f>1419.5-N52-M52-L52-K52-J52-I52-H52-G52-F52-E52-D52</f>
        <v>0</v>
      </c>
      <c r="P52" s="30">
        <f t="shared" si="32"/>
        <v>1419.5</v>
      </c>
      <c r="BB52" s="28"/>
    </row>
    <row r="53" spans="1:57" ht="15" customHeight="1">
      <c r="A53" s="33"/>
      <c r="B53" s="34" t="s">
        <v>89</v>
      </c>
      <c r="C53" s="4" t="s">
        <v>86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0">
        <f t="shared" si="32"/>
        <v>0</v>
      </c>
    </row>
    <row r="54" spans="1:57" ht="16.5" customHeight="1">
      <c r="A54" s="33"/>
      <c r="B54" s="34" t="s">
        <v>111</v>
      </c>
      <c r="C54" s="4" t="s">
        <v>86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f>0-N54-M54-L54-K54-J54-I54-H54-G54-F54-E54-D54</f>
        <v>0</v>
      </c>
      <c r="P54" s="30">
        <f>SUM(D54:O54)</f>
        <v>0</v>
      </c>
    </row>
    <row r="55" spans="1:57" ht="19.5" customHeight="1">
      <c r="A55" s="33"/>
      <c r="B55" s="34" t="s">
        <v>23</v>
      </c>
      <c r="C55" s="4" t="s">
        <v>86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0">
        <f t="shared" si="23"/>
        <v>0</v>
      </c>
    </row>
    <row r="56" spans="1:57" s="7" customFormat="1" ht="16.5" customHeight="1">
      <c r="A56" s="15" t="s">
        <v>28</v>
      </c>
      <c r="B56" s="19" t="s">
        <v>29</v>
      </c>
      <c r="C56" s="6" t="s">
        <v>86</v>
      </c>
      <c r="D56" s="29">
        <f t="shared" ref="D56" si="34">-C70+D9-D30</f>
        <v>4.9366666680725757E-3</v>
      </c>
      <c r="E56" s="29">
        <f>D56+E9-E30</f>
        <v>5.743333327700384E-3</v>
      </c>
      <c r="F56" s="29">
        <f>E56+F9-F30</f>
        <v>7.4999999196734279E-4</v>
      </c>
      <c r="G56" s="29">
        <f>F56+G9-G30</f>
        <v>1.6676666666171513E-2</v>
      </c>
      <c r="H56" s="29">
        <f>G56+H9-H30</f>
        <v>2.2533333329192828E-2</v>
      </c>
      <c r="I56" s="29">
        <f>H56+I9-I30</f>
        <v>2.7200000040465966E-3</v>
      </c>
      <c r="J56" s="29">
        <f t="shared" ref="J56" si="35">I56+J9-J30</f>
        <v>-8.8233333372045308E-3</v>
      </c>
      <c r="K56" s="29">
        <f t="shared" ref="K56" si="36">J56+K9-K30</f>
        <v>-1.6686666687746765E-2</v>
      </c>
      <c r="L56" s="29">
        <f t="shared" ref="L56:M56" si="37">K56+L9-L30</f>
        <v>4.2240000013407553E-2</v>
      </c>
      <c r="M56" s="29">
        <f t="shared" si="37"/>
        <v>1.7436666661524214E-2</v>
      </c>
      <c r="N56" s="29">
        <f t="shared" ref="N56" si="38">M56+N9-N30</f>
        <v>-1.1456666688900441E-2</v>
      </c>
      <c r="O56" s="29">
        <f t="shared" ref="O56" si="39">N56+O9-O30</f>
        <v>-10449.585310000068</v>
      </c>
      <c r="P56" s="30">
        <f t="shared" ref="P56" si="40">P9-P30</f>
        <v>-10449.585310000111</v>
      </c>
      <c r="BA56" s="44"/>
      <c r="BB56" s="44"/>
      <c r="BC56" s="44"/>
      <c r="BD56" s="44"/>
      <c r="BE56" s="44"/>
    </row>
    <row r="57" spans="1:57" s="7" customFormat="1" ht="16.5" customHeight="1">
      <c r="A57" s="15" t="s">
        <v>30</v>
      </c>
      <c r="B57" s="19" t="s">
        <v>31</v>
      </c>
      <c r="C57" s="6"/>
      <c r="D57" s="35">
        <f t="shared" ref="D57" si="41">D64+D70+D58</f>
        <v>-4.9366666680725757E-3</v>
      </c>
      <c r="E57" s="35">
        <f t="shared" ref="E57:H57" si="42">E58-E64+E70</f>
        <v>-5.743333327700384E-3</v>
      </c>
      <c r="F57" s="35">
        <f t="shared" si="42"/>
        <v>-7.4999999196734279E-4</v>
      </c>
      <c r="G57" s="35">
        <f t="shared" si="42"/>
        <v>-1.6676666666171513E-2</v>
      </c>
      <c r="H57" s="35">
        <f t="shared" si="42"/>
        <v>-2.2533333329192828E-2</v>
      </c>
      <c r="I57" s="35">
        <f>I58-I64+I70+H57-H70</f>
        <v>-2.719999996770639E-3</v>
      </c>
      <c r="J57" s="35">
        <f t="shared" ref="J57:O57" si="43">J58-J64+J70+I57-I70</f>
        <v>8.8233333444804884E-3</v>
      </c>
      <c r="K57" s="35">
        <f t="shared" si="43"/>
        <v>1.6686666695022723E-2</v>
      </c>
      <c r="L57" s="35">
        <f t="shared" si="43"/>
        <v>-4.2240000006131595E-2</v>
      </c>
      <c r="M57" s="35">
        <f t="shared" si="43"/>
        <v>-1.7436666657886235E-2</v>
      </c>
      <c r="N57" s="35">
        <f t="shared" si="43"/>
        <v>1.145666669253842E-2</v>
      </c>
      <c r="O57" s="35">
        <f t="shared" si="43"/>
        <v>10449.585310000071</v>
      </c>
      <c r="P57" s="45">
        <f t="shared" ref="P57" si="44">P58-P64+P70</f>
        <v>10449.585310000111</v>
      </c>
      <c r="BA57" s="44"/>
      <c r="BB57" s="44"/>
      <c r="BC57" s="44"/>
      <c r="BD57" s="44"/>
      <c r="BE57" s="44"/>
    </row>
    <row r="58" spans="1:57" s="7" customFormat="1" ht="31.5" customHeight="1">
      <c r="A58" s="15" t="s">
        <v>32</v>
      </c>
      <c r="B58" s="19" t="s">
        <v>33</v>
      </c>
      <c r="C58" s="6"/>
      <c r="D58" s="29">
        <f>D59+D60+D61+D62+D63</f>
        <v>0</v>
      </c>
      <c r="E58" s="29">
        <f t="shared" ref="E58:O58" si="45">E59+E60+E61+E62+E63</f>
        <v>0</v>
      </c>
      <c r="F58" s="29">
        <f t="shared" si="45"/>
        <v>0</v>
      </c>
      <c r="G58" s="29">
        <f t="shared" si="45"/>
        <v>0</v>
      </c>
      <c r="H58" s="29">
        <f t="shared" si="45"/>
        <v>0</v>
      </c>
      <c r="I58" s="29">
        <f t="shared" si="45"/>
        <v>40000</v>
      </c>
      <c r="J58" s="29">
        <f t="shared" si="45"/>
        <v>0</v>
      </c>
      <c r="K58" s="29">
        <f t="shared" si="45"/>
        <v>0</v>
      </c>
      <c r="L58" s="29">
        <f t="shared" si="45"/>
        <v>0</v>
      </c>
      <c r="M58" s="29">
        <f t="shared" si="45"/>
        <v>0</v>
      </c>
      <c r="N58" s="29">
        <f t="shared" si="45"/>
        <v>0</v>
      </c>
      <c r="O58" s="29">
        <f t="shared" si="45"/>
        <v>0</v>
      </c>
      <c r="P58" s="30">
        <f t="shared" si="23"/>
        <v>40000</v>
      </c>
    </row>
    <row r="59" spans="1:57" ht="46.5" customHeight="1">
      <c r="A59" s="33"/>
      <c r="B59" s="34" t="s">
        <v>34</v>
      </c>
      <c r="C59" s="4" t="s">
        <v>35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0">
        <f t="shared" si="23"/>
        <v>0</v>
      </c>
    </row>
    <row r="60" spans="1:57" ht="29.25" customHeight="1">
      <c r="A60" s="33"/>
      <c r="B60" s="34" t="s">
        <v>36</v>
      </c>
      <c r="C60" s="4" t="s">
        <v>37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40000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0">
        <f t="shared" si="23"/>
        <v>40000</v>
      </c>
    </row>
    <row r="61" spans="1:57" ht="47.25" customHeight="1">
      <c r="A61" s="33"/>
      <c r="B61" s="34" t="s">
        <v>38</v>
      </c>
      <c r="C61" s="4" t="s">
        <v>39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0">
        <f t="shared" si="23"/>
        <v>0</v>
      </c>
    </row>
    <row r="62" spans="1:57" ht="46.5" customHeight="1">
      <c r="A62" s="33"/>
      <c r="B62" s="34" t="s">
        <v>40</v>
      </c>
      <c r="C62" s="4" t="s">
        <v>76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0">
        <f t="shared" ref="P62:P63" si="46">SUM(D62:O62)</f>
        <v>0</v>
      </c>
    </row>
    <row r="63" spans="1:57" ht="35.25" customHeight="1">
      <c r="A63" s="33"/>
      <c r="B63" s="34" t="s">
        <v>41</v>
      </c>
      <c r="C63" s="4" t="s">
        <v>42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0">
        <f t="shared" si="46"/>
        <v>0</v>
      </c>
    </row>
    <row r="64" spans="1:57" s="7" customFormat="1" ht="29.25" customHeight="1">
      <c r="A64" s="15" t="s">
        <v>43</v>
      </c>
      <c r="B64" s="19" t="s">
        <v>44</v>
      </c>
      <c r="C64" s="6"/>
      <c r="D64" s="29">
        <f t="shared" ref="D64:O64" si="47">D65+D66+D67+D68+D69</f>
        <v>0</v>
      </c>
      <c r="E64" s="29">
        <f t="shared" si="47"/>
        <v>0</v>
      </c>
      <c r="F64" s="29">
        <f t="shared" si="47"/>
        <v>0</v>
      </c>
      <c r="G64" s="29">
        <f t="shared" si="47"/>
        <v>0</v>
      </c>
      <c r="H64" s="29">
        <f t="shared" si="47"/>
        <v>0</v>
      </c>
      <c r="I64" s="29">
        <f t="shared" si="47"/>
        <v>40000</v>
      </c>
      <c r="J64" s="29">
        <f t="shared" si="47"/>
        <v>0</v>
      </c>
      <c r="K64" s="29">
        <f t="shared" si="47"/>
        <v>0</v>
      </c>
      <c r="L64" s="29">
        <f t="shared" si="47"/>
        <v>0</v>
      </c>
      <c r="M64" s="29">
        <f t="shared" si="47"/>
        <v>0</v>
      </c>
      <c r="N64" s="29">
        <f t="shared" si="47"/>
        <v>0</v>
      </c>
      <c r="O64" s="29">
        <f t="shared" si="47"/>
        <v>0</v>
      </c>
      <c r="P64" s="30">
        <f>SUM(D64:O64)</f>
        <v>40000</v>
      </c>
    </row>
    <row r="65" spans="1:66" ht="45.75" customHeight="1">
      <c r="A65" s="33"/>
      <c r="B65" s="34" t="s">
        <v>45</v>
      </c>
      <c r="C65" s="4" t="s">
        <v>46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0">
        <f t="shared" ref="P65" si="48">SUM(D65:O65)</f>
        <v>0</v>
      </c>
      <c r="BA65" s="48" t="s">
        <v>112</v>
      </c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</row>
    <row r="66" spans="1:66" ht="31.5" customHeight="1">
      <c r="A66" s="33"/>
      <c r="B66" s="34" t="s">
        <v>47</v>
      </c>
      <c r="C66" s="4" t="s">
        <v>48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40000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0">
        <f t="shared" si="23"/>
        <v>40000</v>
      </c>
      <c r="BA66" s="28">
        <f t="shared" ref="BA66:BH66" si="49">-(D20-D44-D28-D27-D26)</f>
        <v>-2.5000000000545697E-2</v>
      </c>
      <c r="BB66" s="28">
        <f t="shared" si="49"/>
        <v>-2.1999999971740181E-3</v>
      </c>
      <c r="BC66" s="28">
        <f t="shared" si="49"/>
        <v>2.8150000001915032E-2</v>
      </c>
      <c r="BD66" s="28">
        <f t="shared" si="49"/>
        <v>2.0949999994627433E-2</v>
      </c>
      <c r="BE66" s="28">
        <f t="shared" si="49"/>
        <v>-2.6859999998123385E-2</v>
      </c>
      <c r="BF66" s="28">
        <f t="shared" si="49"/>
        <v>-1.1910000008356292E-2</v>
      </c>
      <c r="BG66" s="28">
        <f t="shared" si="49"/>
        <v>-6.9099999891477637E-3</v>
      </c>
      <c r="BH66" s="28">
        <f t="shared" si="49"/>
        <v>-4.0459999991071527E-2</v>
      </c>
      <c r="BI66" s="28">
        <f>(L20-L44-L28-L27-L26)</f>
        <v>9.6570000019710278E-2</v>
      </c>
      <c r="BJ66" s="28">
        <f>BI66+(M20-M44-M28-M27-M26)</f>
        <v>5.3320000020903535E-2</v>
      </c>
      <c r="BK66" s="28">
        <f>BJ66+(N20-N44-N28-N27-N26)</f>
        <v>4.8720000009780051E-2</v>
      </c>
      <c r="BL66" s="28">
        <f t="shared" ref="BL66:BM66" si="50">BK66+(O20-O44-O28-O27-O26)</f>
        <v>-6.7039999983535381E-2</v>
      </c>
      <c r="BM66" s="28">
        <f t="shared" si="50"/>
        <v>-6.9840000029216753E-2</v>
      </c>
      <c r="BN66" s="28"/>
    </row>
    <row r="67" spans="1:66" ht="31.5" customHeight="1">
      <c r="A67" s="33"/>
      <c r="B67" s="34" t="s">
        <v>49</v>
      </c>
      <c r="C67" s="4" t="s">
        <v>50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0">
        <f t="shared" si="23"/>
        <v>0</v>
      </c>
      <c r="BA67" s="48" t="s">
        <v>113</v>
      </c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</row>
    <row r="68" spans="1:66" ht="31.5" customHeight="1">
      <c r="A68" s="33"/>
      <c r="B68" s="34" t="s">
        <v>51</v>
      </c>
      <c r="C68" s="4" t="s">
        <v>52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0">
        <f t="shared" ref="P68:P69" si="51">SUM(D68:O68)</f>
        <v>0</v>
      </c>
      <c r="BA68" s="28">
        <f>663.0555+D10-D31</f>
        <v>663.03543666666701</v>
      </c>
      <c r="BB68" s="28">
        <f t="shared" ref="BB68:BG68" si="52">BA68+E28+E27+E26+E25+E10-E31+E58-E64</f>
        <v>663.03404333333128</v>
      </c>
      <c r="BC68" s="28">
        <f t="shared" si="52"/>
        <v>663.05719999999565</v>
      </c>
      <c r="BD68" s="28">
        <f t="shared" si="52"/>
        <v>663.09407666666084</v>
      </c>
      <c r="BE68" s="28">
        <f t="shared" si="52"/>
        <v>663.07307333332574</v>
      </c>
      <c r="BF68" s="28">
        <f t="shared" si="52"/>
        <v>663.04134999999224</v>
      </c>
      <c r="BG68" s="28">
        <f t="shared" si="52"/>
        <v>663.02289666666911</v>
      </c>
      <c r="BH68" s="28">
        <f>BG68+K28+K27+K10-K31+K58-K64+K26</f>
        <v>662.97457333332932</v>
      </c>
      <c r="BI68" s="28">
        <f t="shared" ref="BI68:BL68" si="53">BH68+L28+L27+L10-L31+L58-L64+L26</f>
        <v>662.9369300000144</v>
      </c>
      <c r="BJ68" s="28">
        <f t="shared" si="53"/>
        <v>662.95537666667587</v>
      </c>
      <c r="BK68" s="28">
        <f t="shared" si="53"/>
        <v>662.93108333334385</v>
      </c>
      <c r="BL68" s="28">
        <f t="shared" si="53"/>
        <v>-9786.5270100000344</v>
      </c>
      <c r="BM68" s="28">
        <f t="shared" ref="BM68" si="54">BL68+P28+P27+P10-P31+P58-P64</f>
        <v>-20236.109520000115</v>
      </c>
    </row>
    <row r="69" spans="1:66" ht="31.5" customHeight="1">
      <c r="A69" s="33"/>
      <c r="B69" s="34" t="s">
        <v>53</v>
      </c>
      <c r="C69" s="4" t="s">
        <v>54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0">
        <f t="shared" si="51"/>
        <v>0</v>
      </c>
      <c r="BA69" s="48" t="s">
        <v>114</v>
      </c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</row>
    <row r="70" spans="1:66" s="7" customFormat="1" ht="17.25" customHeight="1">
      <c r="A70" s="15" t="s">
        <v>55</v>
      </c>
      <c r="B70" s="19" t="s">
        <v>56</v>
      </c>
      <c r="C70" s="6"/>
      <c r="D70" s="29">
        <f t="shared" ref="D70" si="55">(D64+D30)-(D58+D9)</f>
        <v>-4.9366666680725757E-3</v>
      </c>
      <c r="E70" s="29">
        <f>(E64+E30)-(E58+E9)+D70</f>
        <v>-5.743333327700384E-3</v>
      </c>
      <c r="F70" s="29">
        <f>(F64+F30)-(F58+F9)+E70+E58</f>
        <v>-7.4999999196734279E-4</v>
      </c>
      <c r="G70" s="29">
        <f>(G64+G30)-(G58+G9)+F70+F58</f>
        <v>-1.6676666666171513E-2</v>
      </c>
      <c r="H70" s="29">
        <f>(H64+H30)-(H58+H9)+G70+G58</f>
        <v>-2.2533333329192828E-2</v>
      </c>
      <c r="I70" s="29">
        <f>(I64+I30)-(I58+I9)+H70</f>
        <v>-2.719999996770639E-3</v>
      </c>
      <c r="J70" s="29">
        <f t="shared" ref="J70:O70" si="56">(J64+J30)-(J58+J9)+I70</f>
        <v>8.8233333444804884E-3</v>
      </c>
      <c r="K70" s="29">
        <f t="shared" si="56"/>
        <v>1.6686666695022723E-2</v>
      </c>
      <c r="L70" s="29">
        <f t="shared" si="56"/>
        <v>-4.2240000006131595E-2</v>
      </c>
      <c r="M70" s="29">
        <f t="shared" si="56"/>
        <v>-1.7436666657886235E-2</v>
      </c>
      <c r="N70" s="29">
        <f t="shared" si="56"/>
        <v>1.145666669253842E-2</v>
      </c>
      <c r="O70" s="29">
        <f t="shared" si="56"/>
        <v>10449.585310000071</v>
      </c>
      <c r="P70" s="29">
        <f t="shared" ref="P70" si="57">(P64+P30)-(P58+P9)</f>
        <v>10449.585310000111</v>
      </c>
      <c r="BA70" s="47">
        <f>665.576559+D10-D31+D28-D27</f>
        <v>665.5564956666658</v>
      </c>
      <c r="BB70" s="47">
        <f t="shared" ref="BB70:BD70" si="58">BA70+E10-E31+E28+E27+E26+E25+E58-E64</f>
        <v>665.55510233333007</v>
      </c>
      <c r="BC70" s="47">
        <f t="shared" si="58"/>
        <v>665.57825899999443</v>
      </c>
      <c r="BD70" s="47">
        <f t="shared" si="58"/>
        <v>665.61513566665963</v>
      </c>
      <c r="BE70" s="47">
        <f>BD70+H10-H31+H28+H27+H26+H25+H58-H64</f>
        <v>665.59413233332452</v>
      </c>
      <c r="BF70" s="47">
        <f>BE70+I10-I31+I28+I27+I26+I25+I58-I64</f>
        <v>665.56240899999102</v>
      </c>
      <c r="BG70" s="47">
        <f>BF70+J10-J31+J28+J27+J26+J25+J58-J64</f>
        <v>665.5439556666679</v>
      </c>
      <c r="BH70" s="47">
        <f>BG70+K10-K31+K28+K27+K58-K64+K26</f>
        <v>665.4956323333281</v>
      </c>
      <c r="BI70" s="47">
        <f>BH70+L9-L30</f>
        <v>665.55455900002926</v>
      </c>
      <c r="BJ70" s="47">
        <f t="shared" ref="BJ70" si="59">BI70+M9-M30</f>
        <v>665.52975566667737</v>
      </c>
      <c r="BK70" s="47">
        <f>BJ70+N10-N31+N28+N27+N26+N25+N58-N64</f>
        <v>665.50546233334535</v>
      </c>
      <c r="BL70" s="47">
        <f>BK70+O10-O31+O28+O27+O26+O25+O58-O64</f>
        <v>-9783.9526310000365</v>
      </c>
      <c r="BM70" s="47">
        <f>BL70+P10-P31+P28+P27+P26+P25+P58-P64</f>
        <v>-20233.535141000117</v>
      </c>
    </row>
    <row r="71" spans="1:66" s="7" customFormat="1" ht="17.25" customHeight="1">
      <c r="A71" s="15" t="s">
        <v>57</v>
      </c>
      <c r="B71" s="19" t="s">
        <v>58</v>
      </c>
      <c r="C71" s="6"/>
      <c r="D71" s="29">
        <v>718.28530999999998</v>
      </c>
      <c r="E71" s="29">
        <f>D72</f>
        <v>718.29024666666737</v>
      </c>
      <c r="F71" s="29">
        <f t="shared" ref="F71:H71" si="60">E72</f>
        <v>718.291053333327</v>
      </c>
      <c r="G71" s="29">
        <f t="shared" si="60"/>
        <v>718.28605999999127</v>
      </c>
      <c r="H71" s="29">
        <f t="shared" si="60"/>
        <v>718.30198666666547</v>
      </c>
      <c r="I71" s="29">
        <f t="shared" ref="I71" si="61">H72</f>
        <v>718.30784333332849</v>
      </c>
      <c r="J71" s="29">
        <f t="shared" ref="J71" si="62">I72</f>
        <v>718.28803000000335</v>
      </c>
      <c r="K71" s="29">
        <f t="shared" ref="K71" si="63">J72</f>
        <v>718.27648666666209</v>
      </c>
      <c r="L71" s="29">
        <f t="shared" ref="L71" si="64">K72</f>
        <v>718.26862333331155</v>
      </c>
      <c r="M71" s="29">
        <f t="shared" ref="M71" si="65">L72</f>
        <v>718.32755000001271</v>
      </c>
      <c r="N71" s="29">
        <f t="shared" ref="N71" si="66">M72</f>
        <v>718.3027466666681</v>
      </c>
      <c r="O71" s="29">
        <f t="shared" ref="O71" si="67">N72</f>
        <v>718.27385333331767</v>
      </c>
      <c r="P71" s="29">
        <f>D71</f>
        <v>718.28530999999998</v>
      </c>
      <c r="BA71" s="44"/>
    </row>
    <row r="72" spans="1:66" s="7" customFormat="1" ht="17.25" customHeight="1">
      <c r="A72" s="15" t="s">
        <v>59</v>
      </c>
      <c r="B72" s="19" t="s">
        <v>60</v>
      </c>
      <c r="C72" s="6"/>
      <c r="D72" s="29">
        <f>D71+D9-D30+D57-D70</f>
        <v>718.29024666666737</v>
      </c>
      <c r="E72" s="29">
        <f>E71+E9-E30+E58-E64</f>
        <v>718.291053333327</v>
      </c>
      <c r="F72" s="29">
        <f>F71+F9-F30+F58-F64</f>
        <v>718.28605999999127</v>
      </c>
      <c r="G72" s="29">
        <f>G71+G9-G30+G58-G64</f>
        <v>718.30198666666547</v>
      </c>
      <c r="H72" s="29">
        <f>H71+H9-H30+H58-H64</f>
        <v>718.30784333332849</v>
      </c>
      <c r="I72" s="29">
        <f>I71+I9-I30+I58-I64</f>
        <v>718.28803000000335</v>
      </c>
      <c r="J72" s="29">
        <f t="shared" ref="J72:O72" si="68">J71+J9-J30+J58-J64</f>
        <v>718.27648666666209</v>
      </c>
      <c r="K72" s="29">
        <f t="shared" si="68"/>
        <v>718.26862333331155</v>
      </c>
      <c r="L72" s="29">
        <f t="shared" si="68"/>
        <v>718.32755000001271</v>
      </c>
      <c r="M72" s="29">
        <f t="shared" si="68"/>
        <v>718.3027466666681</v>
      </c>
      <c r="N72" s="29">
        <f t="shared" si="68"/>
        <v>718.27385333331767</v>
      </c>
      <c r="O72" s="29">
        <f t="shared" si="68"/>
        <v>-9731.3000000000611</v>
      </c>
      <c r="P72" s="29">
        <f t="shared" ref="P72" si="69">P71-P70</f>
        <v>-9731.300000000112</v>
      </c>
      <c r="BA72" s="44"/>
    </row>
    <row r="73" spans="1:66" s="7" customFormat="1" ht="35.1" customHeight="1" thickBot="1">
      <c r="A73" s="16" t="s">
        <v>61</v>
      </c>
      <c r="B73" s="23" t="s">
        <v>62</v>
      </c>
      <c r="C73" s="12"/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43">
        <f t="shared" si="23"/>
        <v>0</v>
      </c>
      <c r="BA73" s="44"/>
    </row>
    <row r="74" spans="1:66" ht="8.25" customHeight="1"/>
    <row r="75" spans="1:66" ht="18.75" customHeight="1">
      <c r="B75" s="41" t="s">
        <v>119</v>
      </c>
      <c r="C75" s="41"/>
      <c r="D75" s="41"/>
      <c r="E75" s="41"/>
      <c r="F75" s="41"/>
      <c r="G75" s="41"/>
      <c r="H75" s="41"/>
      <c r="I75" s="41"/>
    </row>
    <row r="76" spans="1:66" s="5" customFormat="1" ht="12.75">
      <c r="B76" s="40" t="s">
        <v>108</v>
      </c>
      <c r="C76" s="40"/>
      <c r="D76" s="40"/>
      <c r="E76" s="40"/>
      <c r="F76" s="40"/>
      <c r="G76" s="40"/>
      <c r="H76" s="40"/>
      <c r="I76" s="40"/>
      <c r="P76" s="27"/>
    </row>
    <row r="77" spans="1:66" s="5" customFormat="1" ht="13.5" customHeight="1">
      <c r="B77" s="52" t="s">
        <v>118</v>
      </c>
      <c r="C77" s="52"/>
      <c r="D77" s="52"/>
      <c r="E77" s="52"/>
      <c r="F77" s="52"/>
      <c r="G77" s="52"/>
      <c r="H77" s="52"/>
      <c r="I77" s="52"/>
      <c r="P77" s="27"/>
    </row>
    <row r="78" spans="1:66" ht="18.75">
      <c r="B78" s="51"/>
      <c r="C78" s="51"/>
      <c r="D78" s="51"/>
      <c r="E78" s="51"/>
      <c r="F78" s="51"/>
      <c r="G78" s="51"/>
      <c r="H78" s="51"/>
      <c r="I78" s="51"/>
    </row>
  </sheetData>
  <mergeCells count="13">
    <mergeCell ref="BA65:BM65"/>
    <mergeCell ref="I1:P1"/>
    <mergeCell ref="I3:P3"/>
    <mergeCell ref="B78:I78"/>
    <mergeCell ref="B77:I77"/>
    <mergeCell ref="A5:P5"/>
    <mergeCell ref="A21:A23"/>
    <mergeCell ref="A25:A28"/>
    <mergeCell ref="B25:B28"/>
    <mergeCell ref="I2:P2"/>
    <mergeCell ref="I4:P4"/>
    <mergeCell ref="BA67:BM67"/>
    <mergeCell ref="BA69:BM69"/>
  </mergeCells>
  <pageMargins left="0.70866141732283472" right="0.70866141732283472" top="0.74803149606299213" bottom="0.74803149606299213" header="0" footer="0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2024-02-01T08:52:31Z</cp:lastPrinted>
  <dcterms:created xsi:type="dcterms:W3CDTF">2022-09-28T12:50:16Z</dcterms:created>
  <dcterms:modified xsi:type="dcterms:W3CDTF">2024-02-01T08:52:32Z</dcterms:modified>
</cp:coreProperties>
</file>