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21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2021 год'!$A:$A</definedName>
    <definedName name="_xlnm.Print_Area" localSheetId="0">'за 2021 год'!$A$1:$CH$31</definedName>
  </definedNames>
  <calcPr calcId="124519" iterate="1"/>
</workbook>
</file>

<file path=xl/calcChain.xml><?xml version="1.0" encoding="utf-8"?>
<calcChain xmlns="http://schemas.openxmlformats.org/spreadsheetml/2006/main">
  <c r="BH12" i="1"/>
  <c r="AZ17"/>
  <c r="AZ18"/>
  <c r="AZ19"/>
  <c r="AZ20"/>
  <c r="AZ21"/>
  <c r="AZ22"/>
  <c r="AZ16"/>
  <c r="AX17"/>
  <c r="AX18"/>
  <c r="AX19"/>
  <c r="AX20"/>
  <c r="AX21"/>
  <c r="AX22"/>
  <c r="AX16"/>
  <c r="BA22"/>
  <c r="BA21"/>
  <c r="BA20"/>
  <c r="BA19"/>
  <c r="BA18"/>
  <c r="BA17"/>
  <c r="BA16"/>
  <c r="BA15"/>
  <c r="BA12"/>
  <c r="AF11"/>
  <c r="Q11" s="1"/>
  <c r="V21"/>
  <c r="AF16"/>
  <c r="AF22"/>
  <c r="AF21"/>
  <c r="AF20"/>
  <c r="AF19"/>
  <c r="AF18"/>
  <c r="AF17"/>
  <c r="AF12"/>
  <c r="AA12"/>
  <c r="V12"/>
  <c r="T12" l="1"/>
  <c r="S13"/>
  <c r="V22"/>
  <c r="V20"/>
  <c r="V19"/>
  <c r="V18"/>
  <c r="V17"/>
  <c r="V16"/>
  <c r="V15"/>
  <c r="T16"/>
  <c r="S16"/>
  <c r="D13" l="1"/>
  <c r="I22"/>
  <c r="I21"/>
  <c r="I20"/>
  <c r="I19"/>
  <c r="J18"/>
  <c r="I18"/>
  <c r="J17"/>
  <c r="I17"/>
  <c r="J16"/>
  <c r="I16"/>
  <c r="J15"/>
  <c r="I15"/>
  <c r="G21"/>
  <c r="G19"/>
  <c r="G18"/>
  <c r="G17"/>
  <c r="G16"/>
  <c r="G15"/>
  <c r="Y11" l="1"/>
  <c r="BD22" l="1"/>
  <c r="BD21"/>
  <c r="BD20"/>
  <c r="BD19"/>
  <c r="BD18"/>
  <c r="BD17"/>
  <c r="BD16"/>
  <c r="BD15"/>
  <c r="BF13"/>
  <c r="C17" l="1"/>
  <c r="B17" s="1"/>
  <c r="C18"/>
  <c r="B18" s="1"/>
  <c r="C19"/>
  <c r="B19"/>
  <c r="C20"/>
  <c r="B20" s="1"/>
  <c r="C21"/>
  <c r="B21" s="1"/>
  <c r="C22"/>
  <c r="B22"/>
  <c r="C16"/>
  <c r="B16" s="1"/>
  <c r="BQ25"/>
  <c r="BL25"/>
  <c r="BG25"/>
  <c r="BC25"/>
  <c r="AU25"/>
  <c r="AP25"/>
  <c r="AM25"/>
  <c r="AL25"/>
  <c r="AG25"/>
  <c r="AB25"/>
  <c r="W25"/>
  <c r="R25"/>
  <c r="Q25"/>
  <c r="P25"/>
  <c r="O25"/>
  <c r="N25"/>
  <c r="M25"/>
  <c r="C25"/>
  <c r="B25"/>
  <c r="BQ24"/>
  <c r="BL24"/>
  <c r="BG24"/>
  <c r="BC24"/>
  <c r="AU24"/>
  <c r="AP24"/>
  <c r="AM24"/>
  <c r="AL24"/>
  <c r="AG24"/>
  <c r="AB24"/>
  <c r="W24"/>
  <c r="R24"/>
  <c r="Q24"/>
  <c r="P24"/>
  <c r="O24"/>
  <c r="N24"/>
  <c r="M24"/>
  <c r="C24"/>
  <c r="B24"/>
  <c r="BQ23"/>
  <c r="BL23"/>
  <c r="BG23"/>
  <c r="BC23"/>
  <c r="AU23"/>
  <c r="AP23"/>
  <c r="AM23"/>
  <c r="AL23"/>
  <c r="AG23"/>
  <c r="AB23"/>
  <c r="W23"/>
  <c r="R23"/>
  <c r="Q23"/>
  <c r="P23"/>
  <c r="O23"/>
  <c r="N23"/>
  <c r="M23"/>
  <c r="C23"/>
  <c r="B23"/>
  <c r="BQ22"/>
  <c r="BL22"/>
  <c r="BL13" s="1"/>
  <c r="BL11" s="1"/>
  <c r="BG22"/>
  <c r="BC22"/>
  <c r="AV22"/>
  <c r="AP22"/>
  <c r="AM22"/>
  <c r="AG22"/>
  <c r="AB22"/>
  <c r="W22"/>
  <c r="R22"/>
  <c r="Q22"/>
  <c r="P22"/>
  <c r="O22"/>
  <c r="N22"/>
  <c r="BL21"/>
  <c r="BP21"/>
  <c r="BG21"/>
  <c r="BC21"/>
  <c r="AV21"/>
  <c r="AP21"/>
  <c r="AM21"/>
  <c r="AG21"/>
  <c r="AB21"/>
  <c r="W21"/>
  <c r="R21"/>
  <c r="Q21"/>
  <c r="P21"/>
  <c r="O21"/>
  <c r="N21"/>
  <c r="BQ20"/>
  <c r="BL20"/>
  <c r="BP20"/>
  <c r="BG20"/>
  <c r="BC20"/>
  <c r="AV20"/>
  <c r="AP20"/>
  <c r="AM20"/>
  <c r="AG20"/>
  <c r="AB20"/>
  <c r="W20"/>
  <c r="R20"/>
  <c r="Q20"/>
  <c r="P20"/>
  <c r="O20"/>
  <c r="N20"/>
  <c r="BQ19"/>
  <c r="BL19"/>
  <c r="BP19"/>
  <c r="BG19"/>
  <c r="BC19"/>
  <c r="AV19"/>
  <c r="AP19"/>
  <c r="AM19"/>
  <c r="AG19"/>
  <c r="AB19"/>
  <c r="W19"/>
  <c r="R19"/>
  <c r="Q19"/>
  <c r="P19"/>
  <c r="O19"/>
  <c r="N19"/>
  <c r="BQ18"/>
  <c r="BL18"/>
  <c r="BP18"/>
  <c r="BG18"/>
  <c r="BC18"/>
  <c r="AV18"/>
  <c r="AP18"/>
  <c r="AM18"/>
  <c r="AG18"/>
  <c r="AB18"/>
  <c r="W18"/>
  <c r="R18"/>
  <c r="Q18"/>
  <c r="P18"/>
  <c r="O18"/>
  <c r="N18"/>
  <c r="BQ17"/>
  <c r="BL17"/>
  <c r="BP17"/>
  <c r="BG17"/>
  <c r="BC17"/>
  <c r="AV17"/>
  <c r="AP17"/>
  <c r="AM17"/>
  <c r="AG17"/>
  <c r="AB17"/>
  <c r="W17"/>
  <c r="R17"/>
  <c r="Q17"/>
  <c r="P17"/>
  <c r="O17"/>
  <c r="N17"/>
  <c r="BL16"/>
  <c r="BP16"/>
  <c r="BG16"/>
  <c r="BC16"/>
  <c r="AV16"/>
  <c r="AP16"/>
  <c r="AM16"/>
  <c r="AG16"/>
  <c r="AB16"/>
  <c r="W16"/>
  <c r="R16"/>
  <c r="Q16"/>
  <c r="P16"/>
  <c r="P13" s="1"/>
  <c r="O16"/>
  <c r="N16"/>
  <c r="BQ15"/>
  <c r="BL15"/>
  <c r="BP15" s="1"/>
  <c r="BG15"/>
  <c r="BC15"/>
  <c r="AV15"/>
  <c r="AP15"/>
  <c r="AM15"/>
  <c r="AG15"/>
  <c r="AB15"/>
  <c r="W15"/>
  <c r="R15"/>
  <c r="Q15"/>
  <c r="P15"/>
  <c r="O15"/>
  <c r="N15"/>
  <c r="C15"/>
  <c r="B15" s="1"/>
  <c r="CH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O13"/>
  <c r="BN13"/>
  <c r="BN11" s="1"/>
  <c r="BM13"/>
  <c r="BK13"/>
  <c r="BJ13"/>
  <c r="BI13"/>
  <c r="BI11" s="1"/>
  <c r="BH13"/>
  <c r="BE13"/>
  <c r="BD13"/>
  <c r="BC13"/>
  <c r="BB13"/>
  <c r="BB11" s="1"/>
  <c r="BA13"/>
  <c r="BA11" s="1"/>
  <c r="AZ13"/>
  <c r="AY13"/>
  <c r="AY11" s="1"/>
  <c r="AX13"/>
  <c r="AX11" s="1"/>
  <c r="AW13"/>
  <c r="AW11" s="1"/>
  <c r="AT13"/>
  <c r="AS13"/>
  <c r="AR13"/>
  <c r="AQ13"/>
  <c r="AP13"/>
  <c r="AO13"/>
  <c r="AN13"/>
  <c r="AM13"/>
  <c r="AK13"/>
  <c r="AJ13"/>
  <c r="AI13"/>
  <c r="AH13"/>
  <c r="AG13"/>
  <c r="AF13"/>
  <c r="AE13"/>
  <c r="AE11" s="1"/>
  <c r="AD13"/>
  <c r="AD11" s="1"/>
  <c r="AC13"/>
  <c r="AA13"/>
  <c r="Z13"/>
  <c r="Y13"/>
  <c r="X13"/>
  <c r="W13"/>
  <c r="V13"/>
  <c r="U13"/>
  <c r="T13"/>
  <c r="T11" s="1"/>
  <c r="S11"/>
  <c r="L13"/>
  <c r="K13"/>
  <c r="K11" s="1"/>
  <c r="J13"/>
  <c r="I13"/>
  <c r="H13"/>
  <c r="H11" s="1"/>
  <c r="G13"/>
  <c r="F13"/>
  <c r="F11" s="1"/>
  <c r="E13"/>
  <c r="E11" s="1"/>
  <c r="D11"/>
  <c r="BQ12"/>
  <c r="BL12"/>
  <c r="BC12"/>
  <c r="AV12"/>
  <c r="AP12"/>
  <c r="AM12"/>
  <c r="AG12"/>
  <c r="AB12"/>
  <c r="W12"/>
  <c r="W11" s="1"/>
  <c r="R12"/>
  <c r="Q12"/>
  <c r="P12"/>
  <c r="O12"/>
  <c r="N12"/>
  <c r="C12"/>
  <c r="B12" s="1"/>
  <c r="CD11"/>
  <c r="CC11"/>
  <c r="CB11"/>
  <c r="CA11"/>
  <c r="BZ11"/>
  <c r="BY11"/>
  <c r="BX11"/>
  <c r="BW11"/>
  <c r="BV11"/>
  <c r="BU11"/>
  <c r="BT11"/>
  <c r="BS11"/>
  <c r="BR11"/>
  <c r="BO11"/>
  <c r="BM11"/>
  <c r="BK11"/>
  <c r="BJ11"/>
  <c r="BF11"/>
  <c r="BE11"/>
  <c r="BD11"/>
  <c r="BC11"/>
  <c r="AZ11"/>
  <c r="AT11"/>
  <c r="AS11"/>
  <c r="AR11"/>
  <c r="AQ11"/>
  <c r="AP11"/>
  <c r="AO11"/>
  <c r="AN11"/>
  <c r="AM11"/>
  <c r="AK11"/>
  <c r="AJ11"/>
  <c r="AI11"/>
  <c r="AH11"/>
  <c r="AG11"/>
  <c r="AC11"/>
  <c r="AA11"/>
  <c r="Z11"/>
  <c r="X11"/>
  <c r="U11"/>
  <c r="V11" s="1"/>
  <c r="L11"/>
  <c r="I11"/>
  <c r="G11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BQ11" l="1"/>
  <c r="AV13"/>
  <c r="AV11" s="1"/>
  <c r="BP22"/>
  <c r="BP13" s="1"/>
  <c r="BP11" s="1"/>
  <c r="C13"/>
  <c r="C11"/>
  <c r="B11" s="1"/>
  <c r="B13"/>
  <c r="O11"/>
  <c r="P11"/>
  <c r="AB11"/>
  <c r="AB13"/>
  <c r="M20"/>
  <c r="AL20" s="1"/>
  <c r="AU20" s="1"/>
  <c r="M17"/>
  <c r="AL17" s="1"/>
  <c r="AU17" s="1"/>
  <c r="M15"/>
  <c r="AL15" s="1"/>
  <c r="AU15" s="1"/>
  <c r="N13"/>
  <c r="M19"/>
  <c r="AL19" s="1"/>
  <c r="AU19" s="1"/>
  <c r="N11"/>
  <c r="M16"/>
  <c r="AL16" s="1"/>
  <c r="AU16" s="1"/>
  <c r="M18"/>
  <c r="AL18" s="1"/>
  <c r="AU18" s="1"/>
  <c r="O13"/>
  <c r="M21"/>
  <c r="AL21" s="1"/>
  <c r="AU21" s="1"/>
  <c r="M22"/>
  <c r="AL22" s="1"/>
  <c r="R13"/>
  <c r="R11"/>
  <c r="Q13"/>
  <c r="M12"/>
  <c r="AL12" s="1"/>
  <c r="AU12" s="1"/>
  <c r="BG13"/>
  <c r="BH11"/>
  <c r="BG11" s="1"/>
  <c r="M11" l="1"/>
  <c r="M13"/>
  <c r="AL13"/>
  <c r="AL11" s="1"/>
  <c r="AU22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<sst xmlns="http://schemas.openxmlformats.org/spreadsheetml/2006/main" count="143" uniqueCount="91">
  <si>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</si>
  <si>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</si>
  <si>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</si>
  <si>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</si>
  <si>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</si>
  <si>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</si>
  <si>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</si>
  <si>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</si>
  <si>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</si>
  <si>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</si>
  <si>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</si>
  <si>
    <t>ИТОГО РАСХОДЫ</t>
  </si>
  <si>
    <t xml:space="preserve">Расходы за счет субвенций, субсидий, иных МБТ  </t>
  </si>
  <si>
    <t>Расходы на содержание органов местного самоуправления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</si>
  <si>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</si>
  <si>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</si>
  <si>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</si>
  <si>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</si>
  <si>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</si>
  <si>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</si>
  <si>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</si>
  <si>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</si>
  <si>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</si>
  <si>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</si>
  <si>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</si>
  <si>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</si>
  <si>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</si>
  <si>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</si>
  <si>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</si>
  <si>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</si>
  <si>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</si>
  <si>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</si>
  <si>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</si>
  <si>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</si>
  <si>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</si>
  <si>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</si>
  <si>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</si>
  <si>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</si>
  <si>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</si>
  <si>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</si>
  <si>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</si>
  <si>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</si>
  <si>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</si>
  <si>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</si>
  <si>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</si>
  <si>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</si>
  <si>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</si>
  <si>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</si>
  <si>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</si>
  <si>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**с учетом задолженности по казенным, бюджетным и автономным учреждениям</t>
  </si>
  <si>
    <t>Расходы за счет доходов от оказания платных услуг и компенсации затрат государства</t>
  </si>
  <si>
    <t>Руководитель финансового органа</t>
  </si>
  <si>
    <t>Исполнитель: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</si>
  <si>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</si>
  <si>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</si>
  <si>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</si>
  <si>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</si>
  <si>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</si>
  <si>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</si>
  <si>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</si>
  <si>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</si>
  <si>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</si>
  <si>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</si>
  <si>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</si>
  <si>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</si>
  <si>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</si>
  <si>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</si>
  <si>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</si>
  <si>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</si>
  <si>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</si>
  <si>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</si>
  <si>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</si>
  <si>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</si>
  <si>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</si>
  <si>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</si>
  <si>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</si>
  <si>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</si>
  <si>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</si>
  <si>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</si>
  <si>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</si>
  <si>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</si>
  <si>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</si>
  <si>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</si>
  <si>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</si>
  <si>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</si>
  <si>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Д.А.Хлебаев</t>
  </si>
  <si>
    <t>Степанова Н.В.</t>
  </si>
  <si>
    <t xml:space="preserve">тел. 8 (814-55) 3-37-96     </t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</si>
  <si>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</si>
  <si>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</si>
  <si>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t>Основные параметры исполнения консолидированного бюджета Муезерского  муниципального района по состоянию на 01 июля 2021г.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</si>
</sst>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22" fillId="0" borderId="0"/>
    <xf numFmtId="0" fontId="10" fillId="0" borderId="0"/>
    <xf numFmtId="165" fontId="7" fillId="0" borderId="0" applyFont="0" applyFill="0" applyBorder="0" applyAlignment="0" applyProtection="0"/>
  </cellStyleXfs>
  <cellXfs count="112">
    <xf numFmtId="0" fontId="0" fillId="0" borderId="0" xfId="0"/>
    <xf numFmtId="0" fontId="12" fillId="0" borderId="0" xfId="12" applyFont="1"/>
    <xf numFmtId="0" fontId="13" fillId="0" borderId="0" xfId="12" applyFont="1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5" fillId="0" borderId="1" xfId="12" applyFont="1" applyBorder="1"/>
    <xf numFmtId="0" fontId="15" fillId="0" borderId="0" xfId="12" applyFont="1"/>
    <xf numFmtId="0" fontId="15" fillId="2" borderId="0" xfId="12" applyFont="1" applyFill="1"/>
    <xf numFmtId="0" fontId="15" fillId="3" borderId="0" xfId="12" applyFont="1" applyFill="1"/>
    <xf numFmtId="0" fontId="16" fillId="0" borderId="0" xfId="12" applyFont="1"/>
    <xf numFmtId="0" fontId="16" fillId="2" borderId="0" xfId="12" applyFont="1" applyFill="1"/>
    <xf numFmtId="0" fontId="16" fillId="3" borderId="0" xfId="12" applyFont="1" applyFill="1"/>
    <xf numFmtId="0" fontId="15" fillId="3" borderId="0" xfId="12" applyFont="1" applyFill="1" applyAlignment="1">
      <alignment horizontal="center" vertical="top" wrapText="1"/>
    </xf>
    <xf numFmtId="0" fontId="2" fillId="0" borderId="1" xfId="12" applyFont="1" applyBorder="1" applyAlignment="1">
      <alignment horizontal="center"/>
    </xf>
    <xf numFmtId="0" fontId="15" fillId="0" borderId="0" xfId="12" applyFont="1" applyAlignment="1"/>
    <xf numFmtId="0" fontId="7" fillId="0" borderId="1" xfId="12" applyFont="1" applyBorder="1" applyAlignment="1">
      <alignment horizontal="center" wrapText="1"/>
    </xf>
    <xf numFmtId="3" fontId="2" fillId="0" borderId="1" xfId="4" applyNumberFormat="1" applyFont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17" fillId="5" borderId="1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9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167" fontId="23" fillId="0" borderId="1" xfId="12" applyNumberFormat="1" applyFont="1" applyBorder="1" applyAlignment="1">
      <alignment horizontal="center"/>
    </xf>
    <xf numFmtId="167" fontId="23" fillId="0" borderId="1" xfId="12" applyNumberFormat="1" applyFont="1" applyFill="1" applyBorder="1" applyAlignment="1">
      <alignment horizontal="center"/>
    </xf>
    <xf numFmtId="0" fontId="23" fillId="0" borderId="1" xfId="12" applyFont="1" applyBorder="1"/>
    <xf numFmtId="3" fontId="23" fillId="0" borderId="1" xfId="0" applyNumberFormat="1" applyFont="1" applyFill="1" applyBorder="1" applyAlignment="1" applyProtection="1">
      <alignment horizontal="center" vertical="center"/>
      <protection locked="0"/>
    </xf>
    <xf numFmtId="167" fontId="23" fillId="0" borderId="1" xfId="12" applyNumberFormat="1" applyFont="1" applyBorder="1"/>
    <xf numFmtId="0" fontId="23" fillId="0" borderId="0" xfId="12" applyFont="1"/>
    <xf numFmtId="167" fontId="15" fillId="0" borderId="1" xfId="12" applyNumberFormat="1" applyFont="1" applyFill="1" applyBorder="1" applyAlignment="1">
      <alignment horizontal="center"/>
    </xf>
    <xf numFmtId="0" fontId="15" fillId="2" borderId="1" xfId="12" applyFont="1" applyFill="1" applyBorder="1"/>
    <xf numFmtId="0" fontId="15" fillId="0" borderId="0" xfId="12" applyFont="1" applyFill="1"/>
    <xf numFmtId="0" fontId="16" fillId="0" borderId="0" xfId="12" applyFont="1" applyFill="1"/>
    <xf numFmtId="0" fontId="8" fillId="0" borderId="1" xfId="4" applyFont="1" applyFill="1" applyBorder="1" applyAlignment="1">
      <alignment horizontal="center"/>
    </xf>
    <xf numFmtId="0" fontId="15" fillId="0" borderId="1" xfId="12" applyFont="1" applyFill="1" applyBorder="1"/>
    <xf numFmtId="0" fontId="5" fillId="0" borderId="1" xfId="12" applyFont="1" applyFill="1" applyBorder="1"/>
    <xf numFmtId="0" fontId="18" fillId="0" borderId="1" xfId="0" applyFont="1" applyFill="1" applyBorder="1" applyAlignment="1" applyProtection="1">
      <alignment vertical="center" wrapText="1"/>
      <protection locked="0"/>
    </xf>
    <xf numFmtId="167" fontId="7" fillId="0" borderId="4" xfId="16" applyNumberFormat="1" applyFont="1" applyFill="1" applyBorder="1" applyAlignment="1" applyProtection="1">
      <alignment horizontal="center"/>
      <protection hidden="1"/>
    </xf>
    <xf numFmtId="167" fontId="7" fillId="0" borderId="1" xfId="4" applyNumberFormat="1" applyFont="1" applyFill="1" applyBorder="1" applyAlignment="1" applyProtection="1">
      <alignment horizontal="center" vertical="center"/>
      <protection locked="0"/>
    </xf>
    <xf numFmtId="167" fontId="15" fillId="0" borderId="1" xfId="12" applyNumberFormat="1" applyFont="1" applyBorder="1" applyAlignment="1">
      <alignment horizontal="center"/>
    </xf>
    <xf numFmtId="167" fontId="15" fillId="6" borderId="1" xfId="12" applyNumberFormat="1" applyFont="1" applyFill="1" applyBorder="1" applyAlignment="1">
      <alignment horizontal="center"/>
    </xf>
    <xf numFmtId="167" fontId="15" fillId="2" borderId="1" xfId="12" applyNumberFormat="1" applyFont="1" applyFill="1" applyBorder="1" applyAlignment="1">
      <alignment horizontal="center"/>
    </xf>
    <xf numFmtId="167" fontId="15" fillId="3" borderId="1" xfId="12" applyNumberFormat="1" applyFont="1" applyFill="1" applyBorder="1" applyAlignment="1">
      <alignment horizontal="center"/>
    </xf>
    <xf numFmtId="0" fontId="15" fillId="3" borderId="1" xfId="12" applyFont="1" applyFill="1" applyBorder="1"/>
    <xf numFmtId="3" fontId="2" fillId="0" borderId="1" xfId="4" applyNumberFormat="1" applyFont="1" applyBorder="1" applyAlignment="1">
      <alignment horizontal="center" vertical="center" wrapText="1"/>
    </xf>
    <xf numFmtId="0" fontId="17" fillId="7" borderId="1" xfId="12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 wrapText="1"/>
    </xf>
    <xf numFmtId="0" fontId="15" fillId="0" borderId="1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7" fillId="8" borderId="1" xfId="12" applyFont="1" applyFill="1" applyBorder="1" applyAlignment="1">
      <alignment horizontal="center"/>
    </xf>
    <xf numFmtId="0" fontId="20" fillId="6" borderId="0" xfId="0" applyFont="1" applyFill="1" applyAlignment="1">
      <alignment horizontal="left"/>
    </xf>
    <xf numFmtId="3" fontId="2" fillId="3" borderId="1" xfId="4" applyNumberFormat="1" applyFont="1" applyFill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5" fillId="0" borderId="1" xfId="12" applyFont="1" applyBorder="1" applyAlignment="1">
      <alignment horizontal="center" vertical="center" wrapText="1"/>
    </xf>
    <xf numFmtId="0" fontId="15" fillId="0" borderId="7" xfId="12" applyFont="1" applyBorder="1" applyAlignment="1">
      <alignment horizontal="center" vertical="center" wrapText="1"/>
    </xf>
    <xf numFmtId="0" fontId="15" fillId="0" borderId="2" xfId="12" applyFont="1" applyBorder="1" applyAlignment="1">
      <alignment horizontal="center" vertical="center" wrapText="1"/>
    </xf>
    <xf numFmtId="0" fontId="15" fillId="0" borderId="3" xfId="12" applyFont="1" applyBorder="1" applyAlignment="1">
      <alignment horizontal="center" vertical="center" wrapText="1"/>
    </xf>
    <xf numFmtId="0" fontId="15" fillId="0" borderId="0" xfId="12" applyFont="1" applyAlignment="1">
      <alignment horizontal="center" vertical="top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3" fontId="3" fillId="0" borderId="1" xfId="4" applyNumberFormat="1" applyFont="1" applyBorder="1" applyAlignment="1">
      <alignment horizontal="center" vertical="center" wrapText="1"/>
    </xf>
    <xf numFmtId="0" fontId="19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 wrapText="1"/>
    </xf>
    <xf numFmtId="0" fontId="15" fillId="0" borderId="9" xfId="12" applyFont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7" fillId="9" borderId="1" xfId="12" applyFont="1" applyFill="1" applyBorder="1" applyAlignment="1">
      <alignment horizontal="center"/>
    </xf>
    <xf numFmtId="0" fontId="2" fillId="0" borderId="1" xfId="4" applyFont="1" applyBorder="1" applyAlignment="1">
      <alignment horizontal="center" vertical="center" wrapText="1"/>
    </xf>
    <xf numFmtId="0" fontId="17" fillId="4" borderId="5" xfId="12" applyFont="1" applyFill="1" applyBorder="1" applyAlignment="1">
      <alignment horizontal="center"/>
    </xf>
    <xf numFmtId="0" fontId="17" fillId="4" borderId="6" xfId="12" applyFont="1" applyFill="1" applyBorder="1" applyAlignment="1">
      <alignment horizontal="center"/>
    </xf>
    <xf numFmtId="0" fontId="17" fillId="4" borderId="4" xfId="12" applyFont="1" applyFill="1" applyBorder="1" applyAlignment="1">
      <alignment horizontal="center"/>
    </xf>
    <xf numFmtId="0" fontId="17" fillId="10" borderId="9" xfId="12" applyFont="1" applyFill="1" applyBorder="1" applyAlignment="1">
      <alignment horizontal="center"/>
    </xf>
    <xf numFmtId="0" fontId="17" fillId="10" borderId="0" xfId="12" applyFont="1" applyFill="1" applyBorder="1" applyAlignment="1">
      <alignment horizontal="center"/>
    </xf>
    <xf numFmtId="0" fontId="15" fillId="0" borderId="5" xfId="12" applyFont="1" applyBorder="1" applyAlignment="1">
      <alignment horizontal="center" vertical="center" wrapText="1"/>
    </xf>
    <xf numFmtId="0" fontId="15" fillId="0" borderId="6" xfId="12" applyFont="1" applyBorder="1" applyAlignment="1">
      <alignment horizontal="center" vertical="center" wrapText="1"/>
    </xf>
    <xf numFmtId="0" fontId="15" fillId="0" borderId="4" xfId="12" applyFont="1" applyBorder="1" applyAlignment="1">
      <alignment horizontal="center" vertical="center" wrapText="1"/>
    </xf>
    <xf numFmtId="0" fontId="17" fillId="0" borderId="8" xfId="12" applyFont="1" applyBorder="1" applyAlignment="1">
      <alignment horizontal="center" vertical="center"/>
    </xf>
    <xf numFmtId="0" fontId="17" fillId="0" borderId="11" xfId="12" applyFont="1" applyBorder="1" applyAlignment="1">
      <alignment horizontal="center" vertical="center"/>
    </xf>
    <xf numFmtId="0" fontId="17" fillId="0" borderId="12" xfId="12" applyFont="1" applyBorder="1" applyAlignment="1">
      <alignment horizontal="center" vertical="center"/>
    </xf>
    <xf numFmtId="0" fontId="17" fillId="9" borderId="5" xfId="12" applyFont="1" applyFill="1" applyBorder="1" applyAlignment="1">
      <alignment horizontal="center"/>
    </xf>
    <xf numFmtId="0" fontId="17" fillId="9" borderId="6" xfId="12" applyFont="1" applyFill="1" applyBorder="1" applyAlignment="1">
      <alignment horizontal="center"/>
    </xf>
    <xf numFmtId="0" fontId="17" fillId="9" borderId="4" xfId="12" applyFont="1" applyFill="1" applyBorder="1" applyAlignment="1">
      <alignment horizontal="center"/>
    </xf>
    <xf numFmtId="0" fontId="17" fillId="5" borderId="1" xfId="12" applyFont="1" applyFill="1" applyBorder="1" applyAlignment="1">
      <alignment horizontal="center"/>
    </xf>
    <xf numFmtId="0" fontId="16" fillId="0" borderId="0" xfId="12" applyFont="1" applyAlignment="1">
      <alignment horizontal="center" vertical="top" wrapText="1"/>
    </xf>
    <xf numFmtId="0" fontId="17" fillId="5" borderId="5" xfId="12" applyFont="1" applyFill="1" applyBorder="1" applyAlignment="1">
      <alignment horizontal="center"/>
    </xf>
    <xf numFmtId="0" fontId="17" fillId="5" borderId="6" xfId="12" applyFont="1" applyFill="1" applyBorder="1" applyAlignment="1">
      <alignment horizontal="center"/>
    </xf>
    <xf numFmtId="0" fontId="17" fillId="5" borderId="4" xfId="12" applyFont="1" applyFill="1" applyBorder="1" applyAlignment="1">
      <alignment horizontal="center"/>
    </xf>
    <xf numFmtId="0" fontId="20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5" fillId="0" borderId="13" xfId="12" applyFont="1" applyBorder="1" applyAlignment="1">
      <alignment horizontal="right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</cellXfs>
  <cellStyles count="1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_tmp" xfId="16"/>
    <cellStyle name="Финансов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B11" activePane="bottomRight" state="frozen"/>
      <selection activeCell="A4" sqref="A4"/>
      <selection pane="topRight" activeCell="B4" sqref="B4"/>
      <selection pane="bottomLeft" activeCell="A11" sqref="A11"/>
      <selection pane="bottomRight" activeCell="BF15" sqref="BF15"/>
    </sheetView>
  </sheetViews>
  <sheetFormatPr defaultColWidth="9.140625" defaultRowHeight="15"/>
  <cols>
    <col min="1" max="1" width="34.42578125" style="34" customWidth="1"/>
    <col min="2" max="2" width="10.85546875" style="7" customWidth="1"/>
    <col min="3" max="3" width="9.7109375" style="7" customWidth="1"/>
    <col min="4" max="4" width="10.140625" style="7" customWidth="1"/>
    <col min="5" max="5" width="10.42578125" style="7" customWidth="1"/>
    <col min="6" max="8" width="9" style="7" customWidth="1"/>
    <col min="9" max="9" width="9.7109375" style="7" customWidth="1"/>
    <col min="10" max="10" width="10.42578125" style="7" customWidth="1"/>
    <col min="11" max="12" width="8.28515625" style="7" customWidth="1"/>
    <col min="13" max="13" width="9.5703125" style="7" customWidth="1"/>
    <col min="14" max="14" width="10.28515625" style="7" customWidth="1"/>
    <col min="15" max="15" width="9" style="7" customWidth="1"/>
    <col min="16" max="16" width="8.7109375" style="7" customWidth="1"/>
    <col min="17" max="17" width="10.140625" style="7" customWidth="1"/>
    <col min="18" max="18" width="11.5703125" style="8" customWidth="1"/>
    <col min="19" max="19" width="9.5703125" style="8" customWidth="1"/>
    <col min="20" max="21" width="8.5703125" style="8" customWidth="1"/>
    <col min="22" max="22" width="10.28515625" style="8" customWidth="1"/>
    <col min="23" max="23" width="8.140625" style="9" customWidth="1"/>
    <col min="24" max="24" width="7.140625" style="9" customWidth="1"/>
    <col min="25" max="25" width="6" style="9" customWidth="1"/>
    <col min="26" max="26" width="6.5703125" style="9" customWidth="1"/>
    <col min="27" max="27" width="9" style="9" customWidth="1"/>
    <col min="28" max="28" width="10.7109375" style="7" customWidth="1"/>
    <col min="29" max="30" width="8.7109375" style="7" customWidth="1"/>
    <col min="31" max="31" width="7.140625" style="7" customWidth="1"/>
    <col min="32" max="32" width="9" style="7" customWidth="1"/>
    <col min="33" max="37" width="7.140625" style="7" customWidth="1"/>
    <col min="38" max="38" width="10.140625" style="7" customWidth="1"/>
    <col min="39" max="39" width="8.140625" style="7" customWidth="1"/>
    <col min="40" max="40" width="6.140625" style="7" customWidth="1"/>
    <col min="41" max="41" width="8.42578125" style="7" customWidth="1"/>
    <col min="42" max="42" width="9" style="7" customWidth="1"/>
    <col min="43" max="44" width="8.42578125" style="7" customWidth="1"/>
    <col min="45" max="46" width="8" style="7" customWidth="1"/>
    <col min="47" max="47" width="8.85546875" style="7" customWidth="1"/>
    <col min="48" max="48" width="10.28515625" style="7" customWidth="1"/>
    <col min="49" max="49" width="8.5703125" style="7" customWidth="1"/>
    <col min="50" max="50" width="8.85546875" style="7" customWidth="1"/>
    <col min="51" max="51" width="7.42578125" style="7" customWidth="1"/>
    <col min="52" max="52" width="7" style="7" customWidth="1"/>
    <col min="53" max="53" width="7.7109375" style="7" customWidth="1"/>
    <col min="54" max="54" width="7" style="7" customWidth="1"/>
    <col min="55" max="55" width="9.28515625" style="7" customWidth="1"/>
    <col min="56" max="56" width="14.42578125" style="7" customWidth="1"/>
    <col min="57" max="57" width="10.5703125" style="7" customWidth="1"/>
    <col min="58" max="58" width="8.140625" style="7" customWidth="1"/>
    <col min="59" max="59" width="9.42578125" style="7" customWidth="1"/>
    <col min="60" max="60" width="14.42578125" style="7" customWidth="1"/>
    <col min="61" max="61" width="7.85546875" style="7" customWidth="1"/>
    <col min="62" max="62" width="9.28515625" style="7" customWidth="1"/>
    <col min="63" max="63" width="8.28515625" style="7" customWidth="1"/>
    <col min="64" max="64" width="8.7109375" style="7" customWidth="1"/>
    <col min="65" max="66" width="8.140625" style="7" customWidth="1"/>
    <col min="67" max="67" width="7.5703125" style="7" customWidth="1"/>
    <col min="68" max="68" width="8" style="7" customWidth="1"/>
    <col min="69" max="69" width="6.85546875" style="7" customWidth="1"/>
    <col min="70" max="70" width="7" style="7" customWidth="1"/>
    <col min="71" max="86" width="4.85546875" style="7" customWidth="1"/>
    <col min="87" max="88" width="9.140625" style="7"/>
    <col min="89" max="16384" width="9.140625" style="2"/>
  </cols>
  <sheetData>
    <row r="1" spans="1:88">
      <c r="J1" s="59" t="s">
        <v>72</v>
      </c>
      <c r="K1" s="59"/>
      <c r="L1" s="59"/>
    </row>
    <row r="2" spans="1:88" ht="15" customHeight="1">
      <c r="J2" s="106" t="s">
        <v>75</v>
      </c>
      <c r="K2" s="106"/>
      <c r="L2" s="106"/>
    </row>
    <row r="3" spans="1:88" s="1" customFormat="1" ht="33" customHeight="1">
      <c r="A3" s="35"/>
      <c r="B3" s="102" t="s">
        <v>90</v>
      </c>
      <c r="C3" s="102"/>
      <c r="D3" s="102"/>
      <c r="E3" s="102"/>
      <c r="F3" s="102"/>
      <c r="G3" s="102"/>
      <c r="H3" s="102"/>
      <c r="I3" s="102"/>
      <c r="J3" s="106"/>
      <c r="K3" s="106"/>
      <c r="L3" s="106"/>
      <c r="M3" s="10"/>
      <c r="N3" s="10"/>
      <c r="O3" s="10"/>
      <c r="P3" s="10"/>
      <c r="Q3" s="10"/>
      <c r="R3" s="11"/>
      <c r="S3" s="11"/>
      <c r="T3" s="11"/>
      <c r="U3" s="11"/>
      <c r="V3" s="11"/>
      <c r="W3" s="12"/>
      <c r="X3" s="12"/>
      <c r="Y3" s="12"/>
      <c r="Z3" s="12"/>
      <c r="AA3" s="12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</row>
    <row r="4" spans="1:88" s="1" customFormat="1" ht="15.75">
      <c r="A4" s="35"/>
      <c r="B4" s="10"/>
      <c r="C4" s="10"/>
      <c r="D4" s="10"/>
      <c r="E4" s="10"/>
      <c r="F4" s="10"/>
      <c r="G4" s="10"/>
      <c r="H4" s="10"/>
      <c r="I4" s="10"/>
      <c r="J4" s="106"/>
      <c r="K4" s="106"/>
      <c r="L4" s="106"/>
      <c r="M4" s="10"/>
      <c r="N4" s="10"/>
      <c r="O4" s="10"/>
      <c r="P4" s="10"/>
      <c r="Q4" s="10"/>
      <c r="R4" s="11"/>
      <c r="S4" s="11"/>
      <c r="T4" s="11"/>
      <c r="U4" s="11"/>
      <c r="V4" s="11"/>
      <c r="W4" s="12"/>
      <c r="X4" s="12"/>
      <c r="Y4" s="12"/>
      <c r="Z4" s="12"/>
      <c r="AA4" s="12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</row>
    <row r="5" spans="1:88">
      <c r="K5" s="109" t="s">
        <v>58</v>
      </c>
      <c r="L5" s="109"/>
    </row>
    <row r="6" spans="1:88" ht="15" customHeight="1">
      <c r="A6" s="82"/>
      <c r="B6" s="85" t="s">
        <v>0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103" t="s">
        <v>1</v>
      </c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5"/>
      <c r="AB6" s="101" t="s">
        <v>2</v>
      </c>
      <c r="AC6" s="101"/>
      <c r="AD6" s="101"/>
      <c r="AE6" s="101"/>
      <c r="AF6" s="101"/>
      <c r="AG6" s="21"/>
      <c r="AH6" s="21"/>
      <c r="AI6" s="21"/>
      <c r="AJ6" s="21"/>
      <c r="AK6" s="21"/>
      <c r="AL6" s="53" t="s">
        <v>3</v>
      </c>
      <c r="AM6" s="58" t="s">
        <v>6</v>
      </c>
      <c r="AN6" s="58"/>
      <c r="AO6" s="58"/>
      <c r="AP6" s="58"/>
      <c r="AQ6" s="58"/>
      <c r="AR6" s="58"/>
      <c r="AS6" s="58"/>
      <c r="AT6" s="58"/>
      <c r="AU6" s="58"/>
      <c r="AV6" s="87" t="s">
        <v>4</v>
      </c>
      <c r="AW6" s="88"/>
      <c r="AX6" s="88"/>
      <c r="AY6" s="88"/>
      <c r="AZ6" s="88"/>
      <c r="BA6" s="88"/>
      <c r="BB6" s="89"/>
      <c r="BC6" s="48" t="s">
        <v>5</v>
      </c>
      <c r="BD6" s="48"/>
      <c r="BE6" s="48"/>
      <c r="BF6" s="48"/>
      <c r="BG6" s="48"/>
      <c r="BH6" s="48"/>
      <c r="BI6" s="48"/>
      <c r="BJ6" s="48"/>
      <c r="BK6" s="98" t="s">
        <v>64</v>
      </c>
      <c r="BL6" s="99"/>
      <c r="BM6" s="99"/>
      <c r="BN6" s="99"/>
      <c r="BO6" s="99"/>
      <c r="BP6" s="100"/>
      <c r="BQ6" s="90" t="s">
        <v>57</v>
      </c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15"/>
      <c r="CJ6" s="15"/>
    </row>
    <row r="7" spans="1:88" ht="24.75" customHeight="1">
      <c r="A7" s="83"/>
      <c r="B7" s="86" t="s">
        <v>7</v>
      </c>
      <c r="C7" s="47" t="s">
        <v>8</v>
      </c>
      <c r="D7" s="108" t="s">
        <v>9</v>
      </c>
      <c r="E7" s="108"/>
      <c r="F7" s="108"/>
      <c r="G7" s="108"/>
      <c r="H7" s="108"/>
      <c r="I7" s="108"/>
      <c r="J7" s="47" t="s">
        <v>10</v>
      </c>
      <c r="K7" s="47" t="s">
        <v>46</v>
      </c>
      <c r="L7" s="72" t="s">
        <v>45</v>
      </c>
      <c r="M7" s="107" t="s">
        <v>11</v>
      </c>
      <c r="N7" s="55" t="s">
        <v>9</v>
      </c>
      <c r="O7" s="55"/>
      <c r="P7" s="55"/>
      <c r="Q7" s="55"/>
      <c r="R7" s="64" t="s">
        <v>84</v>
      </c>
      <c r="S7" s="63" t="s">
        <v>9</v>
      </c>
      <c r="T7" s="63"/>
      <c r="U7" s="63"/>
      <c r="V7" s="63"/>
      <c r="W7" s="61" t="s">
        <v>50</v>
      </c>
      <c r="X7" s="62" t="s">
        <v>9</v>
      </c>
      <c r="Y7" s="62"/>
      <c r="Z7" s="62"/>
      <c r="AA7" s="62"/>
      <c r="AB7" s="72" t="s">
        <v>12</v>
      </c>
      <c r="AC7" s="55" t="s">
        <v>9</v>
      </c>
      <c r="AD7" s="55"/>
      <c r="AE7" s="55"/>
      <c r="AF7" s="55"/>
      <c r="AG7" s="72" t="s">
        <v>59</v>
      </c>
      <c r="AH7" s="55" t="s">
        <v>9</v>
      </c>
      <c r="AI7" s="55"/>
      <c r="AJ7" s="55"/>
      <c r="AK7" s="55"/>
      <c r="AL7" s="54"/>
      <c r="AM7" s="65" t="s">
        <v>16</v>
      </c>
      <c r="AN7" s="65"/>
      <c r="AO7" s="65"/>
      <c r="AP7" s="65" t="s">
        <v>17</v>
      </c>
      <c r="AQ7" s="65"/>
      <c r="AR7" s="65"/>
      <c r="AS7" s="66" t="s">
        <v>18</v>
      </c>
      <c r="AT7" s="65" t="s">
        <v>19</v>
      </c>
      <c r="AU7" s="66" t="s">
        <v>20</v>
      </c>
      <c r="AV7" s="72" t="s">
        <v>13</v>
      </c>
      <c r="AW7" s="55" t="s">
        <v>9</v>
      </c>
      <c r="AX7" s="55"/>
      <c r="AY7" s="55"/>
      <c r="AZ7" s="55"/>
      <c r="BA7" s="55"/>
      <c r="BB7" s="55"/>
      <c r="BC7" s="50" t="s">
        <v>14</v>
      </c>
      <c r="BD7" s="51" t="s">
        <v>9</v>
      </c>
      <c r="BE7" s="51"/>
      <c r="BF7" s="51"/>
      <c r="BG7" s="56" t="s">
        <v>15</v>
      </c>
      <c r="BH7" s="51" t="s">
        <v>9</v>
      </c>
      <c r="BI7" s="51"/>
      <c r="BJ7" s="51"/>
      <c r="BK7" s="95" t="s">
        <v>65</v>
      </c>
      <c r="BL7" s="96"/>
      <c r="BM7" s="96"/>
      <c r="BN7" s="96"/>
      <c r="BO7" s="96"/>
      <c r="BP7" s="97"/>
      <c r="BQ7" s="79" t="s">
        <v>55</v>
      </c>
      <c r="BR7" s="92" t="s">
        <v>42</v>
      </c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4"/>
      <c r="CG7" s="79" t="s">
        <v>56</v>
      </c>
      <c r="CH7" s="16" t="s">
        <v>42</v>
      </c>
    </row>
    <row r="8" spans="1:88" ht="15" customHeight="1">
      <c r="A8" s="83"/>
      <c r="B8" s="86"/>
      <c r="C8" s="47"/>
      <c r="D8" s="54" t="s">
        <v>21</v>
      </c>
      <c r="E8" s="110" t="s">
        <v>42</v>
      </c>
      <c r="F8" s="111"/>
      <c r="G8" s="54" t="s">
        <v>22</v>
      </c>
      <c r="H8" s="18" t="s">
        <v>9</v>
      </c>
      <c r="I8" s="47" t="s">
        <v>54</v>
      </c>
      <c r="J8" s="47"/>
      <c r="K8" s="47"/>
      <c r="L8" s="47"/>
      <c r="M8" s="86"/>
      <c r="N8" s="47" t="s">
        <v>23</v>
      </c>
      <c r="O8" s="47" t="s">
        <v>24</v>
      </c>
      <c r="P8" s="47" t="s">
        <v>25</v>
      </c>
      <c r="Q8" s="70" t="s">
        <v>26</v>
      </c>
      <c r="R8" s="64"/>
      <c r="S8" s="64" t="s">
        <v>23</v>
      </c>
      <c r="T8" s="64" t="s">
        <v>27</v>
      </c>
      <c r="U8" s="64" t="s">
        <v>28</v>
      </c>
      <c r="V8" s="64" t="s">
        <v>89</v>
      </c>
      <c r="W8" s="60"/>
      <c r="X8" s="60" t="s">
        <v>23</v>
      </c>
      <c r="Y8" s="60" t="s">
        <v>27</v>
      </c>
      <c r="Z8" s="60" t="s">
        <v>28</v>
      </c>
      <c r="AA8" s="60" t="s">
        <v>26</v>
      </c>
      <c r="AB8" s="47"/>
      <c r="AC8" s="47" t="s">
        <v>23</v>
      </c>
      <c r="AD8" s="47" t="s">
        <v>27</v>
      </c>
      <c r="AE8" s="47" t="s">
        <v>29</v>
      </c>
      <c r="AF8" s="47" t="s">
        <v>88</v>
      </c>
      <c r="AG8" s="47"/>
      <c r="AH8" s="47" t="s">
        <v>23</v>
      </c>
      <c r="AI8" s="47" t="s">
        <v>27</v>
      </c>
      <c r="AJ8" s="47" t="s">
        <v>29</v>
      </c>
      <c r="AK8" s="47" t="s">
        <v>26</v>
      </c>
      <c r="AL8" s="54"/>
      <c r="AM8" s="52" t="s">
        <v>31</v>
      </c>
      <c r="AN8" s="52" t="s">
        <v>32</v>
      </c>
      <c r="AO8" s="52" t="s">
        <v>33</v>
      </c>
      <c r="AP8" s="52" t="s">
        <v>31</v>
      </c>
      <c r="AQ8" s="52" t="s">
        <v>32</v>
      </c>
      <c r="AR8" s="52" t="s">
        <v>33</v>
      </c>
      <c r="AS8" s="67"/>
      <c r="AT8" s="65"/>
      <c r="AU8" s="67"/>
      <c r="AV8" s="47"/>
      <c r="AW8" s="47" t="s">
        <v>23</v>
      </c>
      <c r="AX8" s="14" t="s">
        <v>30</v>
      </c>
      <c r="AY8" s="47" t="s">
        <v>27</v>
      </c>
      <c r="AZ8" s="14" t="s">
        <v>30</v>
      </c>
      <c r="BA8" s="47" t="s">
        <v>26</v>
      </c>
      <c r="BB8" s="14" t="s">
        <v>30</v>
      </c>
      <c r="BC8" s="50"/>
      <c r="BD8" s="49" t="s">
        <v>74</v>
      </c>
      <c r="BE8" s="49" t="s">
        <v>73</v>
      </c>
      <c r="BF8" s="49" t="s">
        <v>60</v>
      </c>
      <c r="BG8" s="56"/>
      <c r="BH8" s="49" t="s">
        <v>74</v>
      </c>
      <c r="BI8" s="49" t="s">
        <v>73</v>
      </c>
      <c r="BJ8" s="49" t="s">
        <v>60</v>
      </c>
      <c r="BK8" s="74" t="s">
        <v>70</v>
      </c>
      <c r="BL8" s="74" t="s">
        <v>66</v>
      </c>
      <c r="BM8" s="19" t="s">
        <v>68</v>
      </c>
      <c r="BN8" s="74" t="s">
        <v>67</v>
      </c>
      <c r="BO8" s="24" t="s">
        <v>68</v>
      </c>
      <c r="BP8" s="74" t="s">
        <v>71</v>
      </c>
      <c r="BQ8" s="80"/>
      <c r="BR8" s="65" t="s">
        <v>61</v>
      </c>
      <c r="BS8" s="65" t="s">
        <v>62</v>
      </c>
      <c r="BT8" s="65" t="s">
        <v>63</v>
      </c>
      <c r="BU8" s="52" t="s">
        <v>47</v>
      </c>
      <c r="BV8" s="76" t="s">
        <v>42</v>
      </c>
      <c r="BW8" s="77"/>
      <c r="BX8" s="78"/>
      <c r="BY8" s="52" t="s">
        <v>48</v>
      </c>
      <c r="BZ8" s="76" t="s">
        <v>42</v>
      </c>
      <c r="CA8" s="77"/>
      <c r="CB8" s="78"/>
      <c r="CC8" s="52" t="s">
        <v>53</v>
      </c>
      <c r="CD8" s="76" t="s">
        <v>42</v>
      </c>
      <c r="CE8" s="77"/>
      <c r="CF8" s="78"/>
      <c r="CG8" s="80"/>
      <c r="CH8" s="52" t="s">
        <v>53</v>
      </c>
    </row>
    <row r="9" spans="1:88" ht="290.25" customHeight="1">
      <c r="A9" s="84"/>
      <c r="B9" s="86"/>
      <c r="C9" s="47"/>
      <c r="D9" s="54"/>
      <c r="E9" s="18" t="s">
        <v>43</v>
      </c>
      <c r="F9" s="18" t="s">
        <v>44</v>
      </c>
      <c r="G9" s="54"/>
      <c r="H9" s="18" t="s">
        <v>34</v>
      </c>
      <c r="I9" s="47"/>
      <c r="J9" s="47"/>
      <c r="K9" s="47"/>
      <c r="L9" s="47"/>
      <c r="M9" s="86"/>
      <c r="N9" s="47"/>
      <c r="O9" s="47"/>
      <c r="P9" s="47"/>
      <c r="Q9" s="71"/>
      <c r="R9" s="64"/>
      <c r="S9" s="64"/>
      <c r="T9" s="64"/>
      <c r="U9" s="64"/>
      <c r="V9" s="64"/>
      <c r="W9" s="60"/>
      <c r="X9" s="60"/>
      <c r="Y9" s="60"/>
      <c r="Z9" s="60"/>
      <c r="AA9" s="60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54"/>
      <c r="AM9" s="52"/>
      <c r="AN9" s="52"/>
      <c r="AO9" s="52"/>
      <c r="AP9" s="52"/>
      <c r="AQ9" s="52"/>
      <c r="AR9" s="52"/>
      <c r="AS9" s="68"/>
      <c r="AT9" s="65"/>
      <c r="AU9" s="68"/>
      <c r="AV9" s="47"/>
      <c r="AW9" s="47"/>
      <c r="AX9" s="17" t="s">
        <v>35</v>
      </c>
      <c r="AY9" s="47"/>
      <c r="AZ9" s="17" t="s">
        <v>35</v>
      </c>
      <c r="BA9" s="47"/>
      <c r="BB9" s="17" t="s">
        <v>35</v>
      </c>
      <c r="BC9" s="50"/>
      <c r="BD9" s="49"/>
      <c r="BE9" s="49"/>
      <c r="BF9" s="49"/>
      <c r="BG9" s="57"/>
      <c r="BH9" s="49"/>
      <c r="BI9" s="49"/>
      <c r="BJ9" s="49"/>
      <c r="BK9" s="75"/>
      <c r="BL9" s="75"/>
      <c r="BM9" s="20" t="s">
        <v>69</v>
      </c>
      <c r="BN9" s="75"/>
      <c r="BO9" s="25" t="s">
        <v>69</v>
      </c>
      <c r="BP9" s="75"/>
      <c r="BQ9" s="81"/>
      <c r="BR9" s="65"/>
      <c r="BS9" s="65"/>
      <c r="BT9" s="65"/>
      <c r="BU9" s="52"/>
      <c r="BV9" s="22" t="s">
        <v>61</v>
      </c>
      <c r="BW9" s="22" t="s">
        <v>62</v>
      </c>
      <c r="BX9" s="22" t="s">
        <v>63</v>
      </c>
      <c r="BY9" s="52"/>
      <c r="BZ9" s="22" t="s">
        <v>61</v>
      </c>
      <c r="CA9" s="22" t="s">
        <v>62</v>
      </c>
      <c r="CB9" s="22" t="s">
        <v>63</v>
      </c>
      <c r="CC9" s="52"/>
      <c r="CD9" s="22" t="s">
        <v>61</v>
      </c>
      <c r="CE9" s="22" t="s">
        <v>62</v>
      </c>
      <c r="CF9" s="22" t="s">
        <v>63</v>
      </c>
      <c r="CG9" s="81"/>
      <c r="CH9" s="52"/>
    </row>
    <row r="10" spans="1:88" ht="12" customHeight="1">
      <c r="A10" s="36">
        <v>1</v>
      </c>
      <c r="B10" s="3">
        <f t="shared" ref="B10:AG10" si="0">A10+1</f>
        <v>2</v>
      </c>
      <c r="C10" s="3">
        <f t="shared" si="0"/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4">
        <f t="shared" si="0"/>
        <v>18</v>
      </c>
      <c r="S10" s="4">
        <f t="shared" si="0"/>
        <v>19</v>
      </c>
      <c r="T10" s="4">
        <f t="shared" si="0"/>
        <v>20</v>
      </c>
      <c r="U10" s="4">
        <f t="shared" si="0"/>
        <v>21</v>
      </c>
      <c r="V10" s="4">
        <f t="shared" si="0"/>
        <v>22</v>
      </c>
      <c r="W10" s="5">
        <f t="shared" si="0"/>
        <v>23</v>
      </c>
      <c r="X10" s="5">
        <f t="shared" si="0"/>
        <v>24</v>
      </c>
      <c r="Y10" s="5">
        <f t="shared" si="0"/>
        <v>25</v>
      </c>
      <c r="Z10" s="5">
        <f t="shared" si="0"/>
        <v>26</v>
      </c>
      <c r="AA10" s="5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ref="AH10:BM10" si="1">AG10+1</f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3">
        <f t="shared" si="1"/>
        <v>43</v>
      </c>
      <c r="AR10" s="3">
        <f t="shared" si="1"/>
        <v>44</v>
      </c>
      <c r="AS10" s="3">
        <f t="shared" si="1"/>
        <v>45</v>
      </c>
      <c r="AT10" s="3">
        <f t="shared" si="1"/>
        <v>46</v>
      </c>
      <c r="AU10" s="3">
        <f t="shared" si="1"/>
        <v>47</v>
      </c>
      <c r="AV10" s="3">
        <f t="shared" si="1"/>
        <v>48</v>
      </c>
      <c r="AW10" s="3">
        <f t="shared" si="1"/>
        <v>49</v>
      </c>
      <c r="AX10" s="3">
        <f t="shared" si="1"/>
        <v>50</v>
      </c>
      <c r="AY10" s="3">
        <f t="shared" si="1"/>
        <v>51</v>
      </c>
      <c r="AZ10" s="3">
        <f t="shared" si="1"/>
        <v>52</v>
      </c>
      <c r="BA10" s="3">
        <f t="shared" si="1"/>
        <v>53</v>
      </c>
      <c r="BB10" s="3">
        <f t="shared" si="1"/>
        <v>54</v>
      </c>
      <c r="BC10" s="3">
        <f t="shared" si="1"/>
        <v>55</v>
      </c>
      <c r="BD10" s="3">
        <f t="shared" si="1"/>
        <v>56</v>
      </c>
      <c r="BE10" s="3">
        <f t="shared" si="1"/>
        <v>57</v>
      </c>
      <c r="BF10" s="3">
        <f t="shared" si="1"/>
        <v>58</v>
      </c>
      <c r="BG10" s="3">
        <f t="shared" si="1"/>
        <v>59</v>
      </c>
      <c r="BH10" s="3">
        <f t="shared" si="1"/>
        <v>60</v>
      </c>
      <c r="BI10" s="3">
        <f t="shared" si="1"/>
        <v>61</v>
      </c>
      <c r="BJ10" s="3">
        <f t="shared" si="1"/>
        <v>62</v>
      </c>
      <c r="BK10" s="3">
        <f t="shared" si="1"/>
        <v>63</v>
      </c>
      <c r="BL10" s="3">
        <f t="shared" si="1"/>
        <v>64</v>
      </c>
      <c r="BM10" s="3">
        <f t="shared" si="1"/>
        <v>65</v>
      </c>
      <c r="BN10" s="3">
        <f t="shared" ref="BN10:CH10" si="2">BM10+1</f>
        <v>66</v>
      </c>
      <c r="BO10" s="3">
        <f t="shared" si="2"/>
        <v>67</v>
      </c>
      <c r="BP10" s="3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3">
        <f t="shared" si="2"/>
        <v>73</v>
      </c>
      <c r="BV10" s="3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3">
        <f t="shared" si="2"/>
        <v>79</v>
      </c>
      <c r="CB10" s="3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3">
        <f t="shared" si="2"/>
        <v>85</v>
      </c>
      <c r="CH10" s="3">
        <f t="shared" si="2"/>
        <v>86</v>
      </c>
    </row>
    <row r="11" spans="1:88" ht="21.75" customHeight="1">
      <c r="A11" s="37" t="s">
        <v>36</v>
      </c>
      <c r="B11" s="42">
        <f>C11+J11+K11+L11</f>
        <v>228788.58899999998</v>
      </c>
      <c r="C11" s="42">
        <f>D11+G11+I11</f>
        <v>119947.78299999998</v>
      </c>
      <c r="D11" s="42">
        <f t="shared" ref="D11:CC11" si="3">D12+D13</f>
        <v>33623.135000000002</v>
      </c>
      <c r="E11" s="42">
        <f t="shared" si="3"/>
        <v>24480.82</v>
      </c>
      <c r="F11" s="42">
        <f t="shared" si="3"/>
        <v>6140.3131999999996</v>
      </c>
      <c r="G11" s="42">
        <f>SUM(G12:G13)</f>
        <v>12803.963</v>
      </c>
      <c r="H11" s="42">
        <f t="shared" si="3"/>
        <v>6581.3060000000005</v>
      </c>
      <c r="I11" s="42">
        <f>I12</f>
        <v>73520.684999999983</v>
      </c>
      <c r="J11" s="42">
        <v>108557.686</v>
      </c>
      <c r="K11" s="42">
        <f t="shared" si="3"/>
        <v>283.12</v>
      </c>
      <c r="L11" s="42">
        <f t="shared" si="3"/>
        <v>0</v>
      </c>
      <c r="M11" s="32">
        <f>N11+O11+P11+Q11</f>
        <v>228164.45600000001</v>
      </c>
      <c r="N11" s="32">
        <f t="shared" ref="N11:P12" si="4">S11+X11+AC11</f>
        <v>120514.77299999999</v>
      </c>
      <c r="O11" s="32">
        <f t="shared" si="4"/>
        <v>29553.182000000001</v>
      </c>
      <c r="P11" s="32">
        <f t="shared" si="4"/>
        <v>26332.412</v>
      </c>
      <c r="Q11" s="42">
        <f>V11+AA11+AF11+AK11</f>
        <v>51764.089000000007</v>
      </c>
      <c r="R11" s="44">
        <f>S11+T11+U11+V11</f>
        <v>115337.626</v>
      </c>
      <c r="S11" s="44">
        <f t="shared" ref="S11:AE11" si="5">S12+S13</f>
        <v>47550.64</v>
      </c>
      <c r="T11" s="44">
        <f t="shared" si="5"/>
        <v>12686.227000000001</v>
      </c>
      <c r="U11" s="44">
        <f t="shared" si="5"/>
        <v>26326.976999999999</v>
      </c>
      <c r="V11" s="44">
        <f>115337.626-U11-T11-S11</f>
        <v>28773.782000000007</v>
      </c>
      <c r="W11" s="45">
        <f t="shared" si="5"/>
        <v>5760.1949999999997</v>
      </c>
      <c r="X11" s="45">
        <f t="shared" si="5"/>
        <v>142.149</v>
      </c>
      <c r="Y11" s="45">
        <f>Y12+Z16</f>
        <v>33.229999999999997</v>
      </c>
      <c r="Z11" s="45">
        <f t="shared" si="5"/>
        <v>0</v>
      </c>
      <c r="AA11" s="45">
        <f t="shared" si="5"/>
        <v>5584.8159999999998</v>
      </c>
      <c r="AB11" s="32">
        <f>AC11+AD11+AE11+AF11</f>
        <v>107066.63499999999</v>
      </c>
      <c r="AC11" s="42">
        <f t="shared" si="5"/>
        <v>72821.983999999997</v>
      </c>
      <c r="AD11" s="42">
        <f t="shared" si="5"/>
        <v>16833.724999999999</v>
      </c>
      <c r="AE11" s="42">
        <f t="shared" si="5"/>
        <v>5.4349999999999996</v>
      </c>
      <c r="AF11" s="42">
        <f>107066.635-AC11-AD11-AE11</f>
        <v>17405.490999999998</v>
      </c>
      <c r="AG11" s="32">
        <f t="shared" ref="AG11:AL11" si="6">AG12+AG13</f>
        <v>0</v>
      </c>
      <c r="AH11" s="42">
        <f t="shared" si="6"/>
        <v>0</v>
      </c>
      <c r="AI11" s="42">
        <f t="shared" si="6"/>
        <v>0</v>
      </c>
      <c r="AJ11" s="42">
        <f t="shared" si="6"/>
        <v>0</v>
      </c>
      <c r="AK11" s="42">
        <f t="shared" si="6"/>
        <v>0</v>
      </c>
      <c r="AL11" s="42">
        <f t="shared" si="6"/>
        <v>624.13300000004551</v>
      </c>
      <c r="AM11" s="32">
        <f>AN11-AO11</f>
        <v>0</v>
      </c>
      <c r="AN11" s="32">
        <f t="shared" si="3"/>
        <v>0</v>
      </c>
      <c r="AO11" s="32">
        <f t="shared" si="3"/>
        <v>0</v>
      </c>
      <c r="AP11" s="32">
        <f>AQ11-AR11</f>
        <v>0</v>
      </c>
      <c r="AQ11" s="32">
        <f t="shared" si="3"/>
        <v>0</v>
      </c>
      <c r="AR11" s="32">
        <f t="shared" si="3"/>
        <v>0</v>
      </c>
      <c r="AS11" s="32">
        <f t="shared" si="3"/>
        <v>0</v>
      </c>
      <c r="AT11" s="32">
        <f t="shared" si="3"/>
        <v>0</v>
      </c>
      <c r="AU11" s="32">
        <f t="shared" si="3"/>
        <v>-624.13300000004551</v>
      </c>
      <c r="AV11" s="32">
        <f t="shared" si="3"/>
        <v>19866.656000000003</v>
      </c>
      <c r="AW11" s="32">
        <f t="shared" si="3"/>
        <v>13851.995000000001</v>
      </c>
      <c r="AX11" s="32">
        <f t="shared" si="3"/>
        <v>855.83400000000006</v>
      </c>
      <c r="AY11" s="32">
        <f t="shared" si="3"/>
        <v>4203.5460000000003</v>
      </c>
      <c r="AZ11" s="32">
        <f t="shared" si="3"/>
        <v>252.286</v>
      </c>
      <c r="BA11" s="32">
        <f t="shared" si="3"/>
        <v>1811.1149999999998</v>
      </c>
      <c r="BB11" s="32">
        <f t="shared" si="3"/>
        <v>665.08499999999992</v>
      </c>
      <c r="BC11" s="32">
        <f>BD11+BE11+BF11</f>
        <v>5097.9240900000004</v>
      </c>
      <c r="BD11" s="32">
        <f>BD12+BD13</f>
        <v>4632.1899000000003</v>
      </c>
      <c r="BE11" s="32">
        <f>BE12+BE13</f>
        <v>0</v>
      </c>
      <c r="BF11" s="32">
        <f>BF12+BF13</f>
        <v>465.73419000000001</v>
      </c>
      <c r="BG11" s="32">
        <f>BH11+BI11+BJ11</f>
        <v>5722.0459999999994</v>
      </c>
      <c r="BH11" s="32">
        <f t="shared" si="3"/>
        <v>331.60299999999916</v>
      </c>
      <c r="BI11" s="32">
        <f t="shared" si="3"/>
        <v>1471.047</v>
      </c>
      <c r="BJ11" s="32">
        <f t="shared" si="3"/>
        <v>3919.3960000000002</v>
      </c>
      <c r="BK11" s="32">
        <f t="shared" si="3"/>
        <v>0</v>
      </c>
      <c r="BL11" s="32">
        <f t="shared" si="3"/>
        <v>6140.3131999999996</v>
      </c>
      <c r="BM11" s="32">
        <f t="shared" si="3"/>
        <v>0</v>
      </c>
      <c r="BN11" s="32">
        <f t="shared" si="3"/>
        <v>4905.097999999999</v>
      </c>
      <c r="BO11" s="32">
        <f t="shared" si="3"/>
        <v>0</v>
      </c>
      <c r="BP11" s="32">
        <f t="shared" si="3"/>
        <v>1235.2152000000001</v>
      </c>
      <c r="BQ11" s="32">
        <f t="shared" si="3"/>
        <v>4637.6310000000003</v>
      </c>
      <c r="BR11" s="32">
        <f t="shared" si="3"/>
        <v>4637.6310000000003</v>
      </c>
      <c r="BS11" s="32">
        <f t="shared" si="3"/>
        <v>0</v>
      </c>
      <c r="BT11" s="32">
        <f t="shared" si="3"/>
        <v>0</v>
      </c>
      <c r="BU11" s="32">
        <f t="shared" si="3"/>
        <v>0</v>
      </c>
      <c r="BV11" s="32">
        <f t="shared" si="3"/>
        <v>0</v>
      </c>
      <c r="BW11" s="32">
        <f t="shared" si="3"/>
        <v>0</v>
      </c>
      <c r="BX11" s="32">
        <f t="shared" si="3"/>
        <v>0</v>
      </c>
      <c r="BY11" s="32">
        <f t="shared" si="3"/>
        <v>0</v>
      </c>
      <c r="BZ11" s="32">
        <f t="shared" si="3"/>
        <v>0</v>
      </c>
      <c r="CA11" s="32">
        <f t="shared" si="3"/>
        <v>0</v>
      </c>
      <c r="CB11" s="32">
        <f t="shared" si="3"/>
        <v>0</v>
      </c>
      <c r="CC11" s="32">
        <f t="shared" si="3"/>
        <v>0</v>
      </c>
      <c r="CD11" s="32">
        <f>CD12+CD13</f>
        <v>0</v>
      </c>
      <c r="CE11" s="32">
        <v>0</v>
      </c>
      <c r="CF11" s="32">
        <v>0</v>
      </c>
      <c r="CG11" s="32">
        <v>0</v>
      </c>
      <c r="CH11" s="32">
        <v>0</v>
      </c>
    </row>
    <row r="12" spans="1:88">
      <c r="A12" s="37" t="s">
        <v>37</v>
      </c>
      <c r="B12" s="42">
        <f>C12+J12+K12+L12</f>
        <v>214758.34100000001</v>
      </c>
      <c r="C12" s="42">
        <f>D12+G12+I12</f>
        <v>106309.82599999999</v>
      </c>
      <c r="D12" s="42">
        <v>22730.482</v>
      </c>
      <c r="E12" s="42">
        <v>20860.267</v>
      </c>
      <c r="F12" s="42">
        <v>0</v>
      </c>
      <c r="G12" s="40">
        <v>10058.659</v>
      </c>
      <c r="H12" s="42">
        <v>6282.1940000000004</v>
      </c>
      <c r="I12" s="42">
        <v>73520.684999999983</v>
      </c>
      <c r="J12" s="42">
        <v>108519.65900000003</v>
      </c>
      <c r="K12" s="42">
        <v>-71.144000000000005</v>
      </c>
      <c r="L12" s="42">
        <v>0</v>
      </c>
      <c r="M12" s="32">
        <f>N12+O12+P12+Q12</f>
        <v>214945.66599999997</v>
      </c>
      <c r="N12" s="32">
        <f t="shared" si="4"/>
        <v>113430.19</v>
      </c>
      <c r="O12" s="32">
        <f t="shared" si="4"/>
        <v>27478.769</v>
      </c>
      <c r="P12" s="32">
        <f t="shared" si="4"/>
        <v>22779.819</v>
      </c>
      <c r="Q12" s="42">
        <f>V12+AA12+AF12+AK12</f>
        <v>51256.887999999992</v>
      </c>
      <c r="R12" s="44">
        <f>S12+T12+U12+V12</f>
        <v>102052.817</v>
      </c>
      <c r="S12" s="44">
        <v>40878.800000000003</v>
      </c>
      <c r="T12" s="44">
        <f>8689.791+1221.144+817.7</f>
        <v>10728.635</v>
      </c>
      <c r="U12" s="44">
        <v>22779.819</v>
      </c>
      <c r="V12" s="44">
        <f>102052.817-U12-T12-S12</f>
        <v>27665.562999999995</v>
      </c>
      <c r="W12" s="45">
        <f>X12+Y12+Z12+AA12</f>
        <v>5760.1949999999997</v>
      </c>
      <c r="X12" s="45">
        <v>142.149</v>
      </c>
      <c r="Y12" s="45">
        <v>33.229999999999997</v>
      </c>
      <c r="Z12" s="45">
        <v>0</v>
      </c>
      <c r="AA12" s="45">
        <f>5760.195-Z12-Y12-X12</f>
        <v>5584.8159999999998</v>
      </c>
      <c r="AB12" s="32">
        <f>AC12+AD12+AE12+AF12</f>
        <v>107132.65399999999</v>
      </c>
      <c r="AC12" s="42">
        <v>72409.240999999995</v>
      </c>
      <c r="AD12" s="42">
        <v>16716.903999999999</v>
      </c>
      <c r="AE12" s="42">
        <v>0</v>
      </c>
      <c r="AF12" s="42">
        <f>107132.654-AC12-AD12-AE12</f>
        <v>18006.509000000002</v>
      </c>
      <c r="AG12" s="32">
        <f>AH12+AI12+AJ12+AK12</f>
        <v>0</v>
      </c>
      <c r="AH12" s="42">
        <v>0</v>
      </c>
      <c r="AI12" s="42">
        <v>0</v>
      </c>
      <c r="AJ12" s="42">
        <v>0</v>
      </c>
      <c r="AK12" s="42">
        <v>0</v>
      </c>
      <c r="AL12" s="32">
        <f>B12-M12</f>
        <v>-187.32499999995343</v>
      </c>
      <c r="AM12" s="32">
        <f t="shared" ref="AM12:AM25" si="7">AN12-AO12</f>
        <v>0</v>
      </c>
      <c r="AN12" s="32">
        <v>0</v>
      </c>
      <c r="AO12" s="32">
        <v>0</v>
      </c>
      <c r="AP12" s="32">
        <f>AQ12-AR12</f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f>-AL12</f>
        <v>187.32499999995343</v>
      </c>
      <c r="AV12" s="32">
        <f>AW12+AY12+BA12</f>
        <v>11614.546</v>
      </c>
      <c r="AW12" s="32">
        <v>8484.8700000000008</v>
      </c>
      <c r="AX12" s="32">
        <v>443.09100000000001</v>
      </c>
      <c r="AY12" s="32">
        <v>2624.42</v>
      </c>
      <c r="AZ12" s="32">
        <v>135.465</v>
      </c>
      <c r="BA12" s="32">
        <f>11614.546-AW12-AY12</f>
        <v>505.2559999999994</v>
      </c>
      <c r="BB12" s="32">
        <v>649.65</v>
      </c>
      <c r="BC12" s="32">
        <f t="shared" ref="BC12:BC25" si="8">BD12+BE12+BF12</f>
        <v>465.73419000000001</v>
      </c>
      <c r="BD12" s="32">
        <v>0</v>
      </c>
      <c r="BE12" s="32">
        <v>0</v>
      </c>
      <c r="BF12" s="32">
        <v>465.73419000000001</v>
      </c>
      <c r="BG12" s="32">
        <v>278.41199999999998</v>
      </c>
      <c r="BH12" s="32">
        <f>BG12-BJ12-BI12</f>
        <v>-5007.9900000000007</v>
      </c>
      <c r="BI12" s="32">
        <v>1367.0060000000001</v>
      </c>
      <c r="BJ12" s="32">
        <v>3919.3960000000002</v>
      </c>
      <c r="BK12" s="32">
        <v>0</v>
      </c>
      <c r="BL12" s="32">
        <f>F12</f>
        <v>0</v>
      </c>
      <c r="BM12" s="32">
        <v>0</v>
      </c>
      <c r="BN12" s="32">
        <v>0</v>
      </c>
      <c r="BO12" s="32">
        <v>0</v>
      </c>
      <c r="BP12" s="32">
        <v>0</v>
      </c>
      <c r="BQ12" s="32">
        <f>BR12+BS12</f>
        <v>4637.6310000000003</v>
      </c>
      <c r="BR12" s="32">
        <v>4637.6310000000003</v>
      </c>
      <c r="BS12" s="32">
        <v>0</v>
      </c>
      <c r="BT12" s="32">
        <v>0</v>
      </c>
      <c r="BU12" s="32">
        <v>0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>
        <v>0</v>
      </c>
      <c r="CB12" s="32">
        <v>0</v>
      </c>
      <c r="CC12" s="32">
        <v>0</v>
      </c>
      <c r="CD12" s="32">
        <v>0</v>
      </c>
      <c r="CE12" s="32">
        <v>0</v>
      </c>
      <c r="CF12" s="32">
        <v>0</v>
      </c>
      <c r="CG12" s="32">
        <v>0</v>
      </c>
      <c r="CH12" s="32">
        <v>0</v>
      </c>
    </row>
    <row r="13" spans="1:88" s="7" customFormat="1">
      <c r="A13" s="37" t="s">
        <v>38</v>
      </c>
      <c r="B13" s="42">
        <f>SUM(B15:B25)</f>
        <v>25319.125000000004</v>
      </c>
      <c r="C13" s="43">
        <f t="shared" ref="C13:CC13" si="9">SUM(C15:C25)</f>
        <v>22410.056999999997</v>
      </c>
      <c r="D13" s="42">
        <f t="shared" si="9"/>
        <v>10892.653</v>
      </c>
      <c r="E13" s="42">
        <f t="shared" si="9"/>
        <v>3620.5529999999999</v>
      </c>
      <c r="F13" s="42">
        <f t="shared" si="9"/>
        <v>6140.3131999999996</v>
      </c>
      <c r="G13" s="42">
        <f t="shared" si="9"/>
        <v>2745.304000000001</v>
      </c>
      <c r="H13" s="42">
        <f t="shared" si="9"/>
        <v>299.11200000000002</v>
      </c>
      <c r="I13" s="42">
        <f t="shared" si="9"/>
        <v>8772.1</v>
      </c>
      <c r="J13" s="42">
        <f t="shared" si="9"/>
        <v>2554.8039999999996</v>
      </c>
      <c r="K13" s="42">
        <f t="shared" si="9"/>
        <v>354.26400000000001</v>
      </c>
      <c r="L13" s="42">
        <f t="shared" si="9"/>
        <v>0</v>
      </c>
      <c r="M13" s="32">
        <f t="shared" si="9"/>
        <v>24507.667000000001</v>
      </c>
      <c r="N13" s="32">
        <f t="shared" si="9"/>
        <v>7084.5829999999996</v>
      </c>
      <c r="O13" s="32">
        <f t="shared" si="9"/>
        <v>2074.413</v>
      </c>
      <c r="P13" s="32">
        <f t="shared" si="9"/>
        <v>3552.5929999999998</v>
      </c>
      <c r="Q13" s="32">
        <f t="shared" si="9"/>
        <v>11796.078000000001</v>
      </c>
      <c r="R13" s="44">
        <f t="shared" si="9"/>
        <v>22056.91</v>
      </c>
      <c r="S13" s="44">
        <f t="shared" si="9"/>
        <v>6671.84</v>
      </c>
      <c r="T13" s="44">
        <f>SUM(T15:T25)</f>
        <v>1957.5919999999999</v>
      </c>
      <c r="U13" s="44">
        <f t="shared" si="9"/>
        <v>3547.1580000000004</v>
      </c>
      <c r="V13" s="44">
        <f t="shared" si="9"/>
        <v>9880.32</v>
      </c>
      <c r="W13" s="45">
        <f>SUM(W15:W25)</f>
        <v>0</v>
      </c>
      <c r="X13" s="45">
        <f t="shared" si="9"/>
        <v>0</v>
      </c>
      <c r="Y13" s="45">
        <f t="shared" si="9"/>
        <v>0</v>
      </c>
      <c r="Z13" s="45">
        <f t="shared" si="9"/>
        <v>0</v>
      </c>
      <c r="AA13" s="45">
        <f t="shared" si="9"/>
        <v>0</v>
      </c>
      <c r="AB13" s="32">
        <f>SUM(AB15:AB25)</f>
        <v>2450.7570000000005</v>
      </c>
      <c r="AC13" s="42">
        <f t="shared" si="9"/>
        <v>412.74300000000005</v>
      </c>
      <c r="AD13" s="42">
        <f t="shared" si="9"/>
        <v>116.82099999999998</v>
      </c>
      <c r="AE13" s="42">
        <f t="shared" si="9"/>
        <v>5.4349999999999996</v>
      </c>
      <c r="AF13" s="42">
        <f t="shared" si="9"/>
        <v>1915.758</v>
      </c>
      <c r="AG13" s="32">
        <f t="shared" si="9"/>
        <v>0</v>
      </c>
      <c r="AH13" s="42">
        <f>SUM(AH15:AH25)</f>
        <v>0</v>
      </c>
      <c r="AI13" s="42">
        <f>SUM(AI15:AI25)</f>
        <v>0</v>
      </c>
      <c r="AJ13" s="42">
        <f>SUM(AJ15:AJ25)</f>
        <v>0</v>
      </c>
      <c r="AK13" s="42">
        <f>SUM(AK15:AK25)</f>
        <v>0</v>
      </c>
      <c r="AL13" s="42">
        <f>SUM(AL15:AL22)</f>
        <v>811.45799999999895</v>
      </c>
      <c r="AM13" s="32">
        <f t="shared" si="7"/>
        <v>0</v>
      </c>
      <c r="AN13" s="32">
        <f t="shared" si="9"/>
        <v>0</v>
      </c>
      <c r="AO13" s="32">
        <f t="shared" si="9"/>
        <v>0</v>
      </c>
      <c r="AP13" s="32">
        <f>AQ13-AR13</f>
        <v>0</v>
      </c>
      <c r="AQ13" s="32">
        <f t="shared" si="9"/>
        <v>0</v>
      </c>
      <c r="AR13" s="32">
        <f t="shared" si="9"/>
        <v>0</v>
      </c>
      <c r="AS13" s="32">
        <f t="shared" si="9"/>
        <v>0</v>
      </c>
      <c r="AT13" s="32">
        <f t="shared" si="9"/>
        <v>0</v>
      </c>
      <c r="AU13" s="32">
        <f t="shared" si="9"/>
        <v>-811.45799999999895</v>
      </c>
      <c r="AV13" s="32">
        <f t="shared" si="9"/>
        <v>8252.11</v>
      </c>
      <c r="AW13" s="32">
        <f t="shared" si="9"/>
        <v>5367.125</v>
      </c>
      <c r="AX13" s="32">
        <f t="shared" si="9"/>
        <v>412.74300000000005</v>
      </c>
      <c r="AY13" s="32">
        <f t="shared" si="9"/>
        <v>1579.1260000000002</v>
      </c>
      <c r="AZ13" s="32">
        <f t="shared" si="9"/>
        <v>116.82099999999998</v>
      </c>
      <c r="BA13" s="32">
        <f t="shared" si="9"/>
        <v>1305.8590000000004</v>
      </c>
      <c r="BB13" s="32">
        <f t="shared" si="9"/>
        <v>15.434999999999999</v>
      </c>
      <c r="BC13" s="32">
        <f t="shared" si="8"/>
        <v>4632.1899000000003</v>
      </c>
      <c r="BD13" s="32">
        <f>SUM(BD15:BD25)</f>
        <v>4632.1899000000003</v>
      </c>
      <c r="BE13" s="32">
        <f>SUM(BE15:BE25)</f>
        <v>0</v>
      </c>
      <c r="BF13" s="32">
        <f>SUM(BF15:BF25)</f>
        <v>0</v>
      </c>
      <c r="BG13" s="32">
        <f t="shared" ref="BG12:BG25" si="10">BH13+BI13+BJ13</f>
        <v>5443.634</v>
      </c>
      <c r="BH13" s="32">
        <f t="shared" si="9"/>
        <v>5339.5929999999998</v>
      </c>
      <c r="BI13" s="32">
        <f t="shared" si="9"/>
        <v>104.041</v>
      </c>
      <c r="BJ13" s="32">
        <f t="shared" si="9"/>
        <v>0</v>
      </c>
      <c r="BK13" s="32">
        <f t="shared" si="9"/>
        <v>0</v>
      </c>
      <c r="BL13" s="32">
        <f t="shared" si="9"/>
        <v>6140.3131999999996</v>
      </c>
      <c r="BM13" s="32">
        <f t="shared" si="9"/>
        <v>0</v>
      </c>
      <c r="BN13" s="32">
        <f t="shared" si="9"/>
        <v>4905.097999999999</v>
      </c>
      <c r="BO13" s="32">
        <f t="shared" si="9"/>
        <v>0</v>
      </c>
      <c r="BP13" s="32">
        <f t="shared" si="9"/>
        <v>1235.2152000000001</v>
      </c>
      <c r="BQ13" s="32">
        <f t="shared" si="9"/>
        <v>0</v>
      </c>
      <c r="BR13" s="32">
        <f>SUM(BR15:BR22)</f>
        <v>0</v>
      </c>
      <c r="BS13" s="32">
        <f>SUM(BS15:BS22)</f>
        <v>0</v>
      </c>
      <c r="BT13" s="32">
        <f>SUM(BT15:BT22)</f>
        <v>0</v>
      </c>
      <c r="BU13" s="32">
        <f t="shared" si="9"/>
        <v>0</v>
      </c>
      <c r="BV13" s="32">
        <f t="shared" si="9"/>
        <v>0</v>
      </c>
      <c r="BW13" s="32">
        <f t="shared" si="9"/>
        <v>0</v>
      </c>
      <c r="BX13" s="32">
        <f t="shared" si="9"/>
        <v>0</v>
      </c>
      <c r="BY13" s="32">
        <f t="shared" si="9"/>
        <v>0</v>
      </c>
      <c r="BZ13" s="32">
        <f t="shared" si="9"/>
        <v>0</v>
      </c>
      <c r="CA13" s="32">
        <f t="shared" si="9"/>
        <v>0</v>
      </c>
      <c r="CB13" s="32">
        <f t="shared" si="9"/>
        <v>0</v>
      </c>
      <c r="CC13" s="32">
        <f t="shared" si="9"/>
        <v>0</v>
      </c>
      <c r="CD13" s="32">
        <f>SUM(CD15:CD25)</f>
        <v>0</v>
      </c>
      <c r="CE13" s="32">
        <f>SUM(CE15:CE25)</f>
        <v>0</v>
      </c>
      <c r="CF13" s="32">
        <f>SUM(CF15:CF25)</f>
        <v>0</v>
      </c>
      <c r="CG13" s="32">
        <f>SUM(CG15:CG25)</f>
        <v>0</v>
      </c>
      <c r="CH13" s="32">
        <f>SUM(CH15:CH25)</f>
        <v>0</v>
      </c>
    </row>
    <row r="14" spans="1:88" ht="12" customHeight="1">
      <c r="A14" s="38" t="s">
        <v>39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42"/>
      <c r="N14" s="42"/>
      <c r="O14" s="42"/>
      <c r="P14" s="42"/>
      <c r="Q14" s="42"/>
      <c r="R14" s="44"/>
      <c r="S14" s="44"/>
      <c r="T14" s="44"/>
      <c r="U14" s="44"/>
      <c r="V14" s="44"/>
      <c r="W14" s="45"/>
      <c r="X14" s="45"/>
      <c r="Y14" s="45"/>
      <c r="Z14" s="45"/>
      <c r="AA14" s="45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27"/>
      <c r="AY14" s="32"/>
      <c r="AZ14" s="27"/>
      <c r="BA14" s="32"/>
      <c r="BB14" s="27"/>
      <c r="BC14" s="32"/>
      <c r="BD14" s="32"/>
      <c r="BE14" s="32"/>
      <c r="BF14" s="32"/>
      <c r="BG14" s="27"/>
      <c r="BH14" s="27"/>
      <c r="BI14" s="27"/>
      <c r="BJ14" s="27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</row>
    <row r="15" spans="1:88" ht="15.75">
      <c r="A15" s="39" t="s">
        <v>76</v>
      </c>
      <c r="B15" s="42">
        <f>C15+J15+K15+L15</f>
        <v>7349.0450000000001</v>
      </c>
      <c r="C15" s="42">
        <f t="shared" ref="C15:C25" si="11">D15+G15+I15</f>
        <v>5237.527</v>
      </c>
      <c r="D15" s="40">
        <v>4455.4939999999997</v>
      </c>
      <c r="E15" s="40">
        <v>3105.8850000000002</v>
      </c>
      <c r="F15" s="42">
        <v>1155.76541</v>
      </c>
      <c r="G15" s="40">
        <f>5111.527-D15</f>
        <v>656.03300000000036</v>
      </c>
      <c r="H15" s="42">
        <v>0.6</v>
      </c>
      <c r="I15" s="42">
        <f>126</f>
        <v>126</v>
      </c>
      <c r="J15" s="42">
        <f>18.677+38.024+2+1849.053</f>
        <v>1907.7540000000001</v>
      </c>
      <c r="K15" s="42">
        <v>203.76400000000001</v>
      </c>
      <c r="L15" s="42">
        <v>0</v>
      </c>
      <c r="M15" s="42">
        <f t="shared" ref="M15:M25" si="12">N15+O15+P15+Q15</f>
        <v>7533.5420000000004</v>
      </c>
      <c r="N15" s="42">
        <f>S15+X15+AC15</f>
        <v>1787.1130000000001</v>
      </c>
      <c r="O15" s="42">
        <f t="shared" ref="O15:O25" si="13">T15+Y15+AD15</f>
        <v>508.5</v>
      </c>
      <c r="P15" s="42">
        <f t="shared" ref="P15:P25" si="14">U15+Z15+AE15</f>
        <v>607.74</v>
      </c>
      <c r="Q15" s="42">
        <f t="shared" ref="Q15:Q22" si="15">V15+AA15+AF15+AK15</f>
        <v>4630.1890000000003</v>
      </c>
      <c r="R15" s="44">
        <f t="shared" ref="R15:R22" si="16">S15+T15+U15+V15</f>
        <v>5625.7870000000003</v>
      </c>
      <c r="S15" s="44">
        <v>1787.1130000000001</v>
      </c>
      <c r="T15" s="44">
        <v>508.5</v>
      </c>
      <c r="U15" s="44">
        <v>607.74</v>
      </c>
      <c r="V15" s="44">
        <f>5625.787-S15-T15-U15</f>
        <v>2722.4340000000002</v>
      </c>
      <c r="W15" s="45">
        <f t="shared" ref="W15:W22" si="17">X15+Y15+Z15+AA15</f>
        <v>0</v>
      </c>
      <c r="X15" s="45">
        <v>0</v>
      </c>
      <c r="Y15" s="45">
        <v>0</v>
      </c>
      <c r="Z15" s="45">
        <v>0</v>
      </c>
      <c r="AA15" s="45">
        <v>0</v>
      </c>
      <c r="AB15" s="42">
        <f t="shared" ref="AB15:AB22" si="18">AC15+AD15+AE15+AF15</f>
        <v>1907.7550000000001</v>
      </c>
      <c r="AC15" s="42">
        <v>0</v>
      </c>
      <c r="AD15" s="42">
        <v>0</v>
      </c>
      <c r="AE15" s="42">
        <v>0</v>
      </c>
      <c r="AF15" s="42">
        <v>1907.7550000000001</v>
      </c>
      <c r="AG15" s="42">
        <f t="shared" ref="AG15:AG22" si="19">AH15+AI15+AJ15+AK15</f>
        <v>0</v>
      </c>
      <c r="AH15" s="42">
        <v>0</v>
      </c>
      <c r="AI15" s="42">
        <v>0</v>
      </c>
      <c r="AJ15" s="42">
        <v>0</v>
      </c>
      <c r="AK15" s="42">
        <v>0</v>
      </c>
      <c r="AL15" s="32">
        <f>B15-M15</f>
        <v>-184.4970000000003</v>
      </c>
      <c r="AM15" s="32">
        <f t="shared" si="7"/>
        <v>0</v>
      </c>
      <c r="AN15" s="32">
        <v>0</v>
      </c>
      <c r="AO15" s="32">
        <v>0</v>
      </c>
      <c r="AP15" s="32">
        <f>AQ15-AR15</f>
        <v>0</v>
      </c>
      <c r="AQ15" s="32">
        <v>0</v>
      </c>
      <c r="AR15" s="32">
        <v>0</v>
      </c>
      <c r="AS15" s="32">
        <v>0</v>
      </c>
      <c r="AT15" s="32">
        <v>0</v>
      </c>
      <c r="AU15" s="32">
        <f>-AL15</f>
        <v>184.4970000000003</v>
      </c>
      <c r="AV15" s="32">
        <f t="shared" ref="AV15:AV22" si="20">AW15+AY15+BA15</f>
        <v>1679.329</v>
      </c>
      <c r="AW15" s="32">
        <v>1134.4860000000001</v>
      </c>
      <c r="AX15" s="32">
        <v>0</v>
      </c>
      <c r="AY15" s="32">
        <v>331.71300000000002</v>
      </c>
      <c r="AZ15" s="32">
        <v>0</v>
      </c>
      <c r="BA15" s="32">
        <f>1679.329-AY15-AW15</f>
        <v>213.12999999999988</v>
      </c>
      <c r="BB15" s="32">
        <v>2</v>
      </c>
      <c r="BC15" s="32">
        <f t="shared" si="8"/>
        <v>524.35073</v>
      </c>
      <c r="BD15" s="32">
        <f>524.35073-BE15-BF15</f>
        <v>524.35073</v>
      </c>
      <c r="BE15" s="32">
        <v>0</v>
      </c>
      <c r="BF15" s="32">
        <v>0</v>
      </c>
      <c r="BG15" s="32">
        <f t="shared" si="10"/>
        <v>339.85500000000002</v>
      </c>
      <c r="BH15" s="32">
        <v>339.85500000000002</v>
      </c>
      <c r="BI15" s="32">
        <v>0</v>
      </c>
      <c r="BJ15" s="32">
        <v>0</v>
      </c>
      <c r="BK15" s="32">
        <v>0</v>
      </c>
      <c r="BL15" s="32">
        <f>F15+BM15</f>
        <v>1155.76541</v>
      </c>
      <c r="BM15" s="32">
        <v>0</v>
      </c>
      <c r="BN15" s="32">
        <v>1406.3009999999999</v>
      </c>
      <c r="BO15" s="32">
        <v>0</v>
      </c>
      <c r="BP15" s="32">
        <f>BL15-BN15</f>
        <v>-250.53558999999996</v>
      </c>
      <c r="BQ15" s="32">
        <f>BR15+BS15</f>
        <v>0</v>
      </c>
      <c r="BR15" s="32">
        <v>0</v>
      </c>
      <c r="BS15" s="32">
        <v>0</v>
      </c>
      <c r="BT15" s="32">
        <v>0</v>
      </c>
      <c r="BU15" s="32">
        <v>0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>
        <v>0</v>
      </c>
      <c r="CB15" s="32">
        <v>0</v>
      </c>
      <c r="CC15" s="32">
        <v>0</v>
      </c>
      <c r="CD15" s="32">
        <v>0</v>
      </c>
      <c r="CE15" s="32">
        <v>0</v>
      </c>
      <c r="CF15" s="32">
        <v>0</v>
      </c>
      <c r="CG15" s="32">
        <v>0</v>
      </c>
      <c r="CH15" s="32">
        <v>0</v>
      </c>
    </row>
    <row r="16" spans="1:88" ht="17.45" customHeight="1">
      <c r="A16" s="39" t="s">
        <v>77</v>
      </c>
      <c r="B16" s="42">
        <f>C16+J16+K16+L16</f>
        <v>7431.7390000000005</v>
      </c>
      <c r="C16" s="42">
        <f t="shared" si="11"/>
        <v>7094.2890000000007</v>
      </c>
      <c r="D16" s="40">
        <v>2255.62</v>
      </c>
      <c r="E16" s="40">
        <v>148.68199999999999</v>
      </c>
      <c r="F16" s="42">
        <v>1896.2557899999999</v>
      </c>
      <c r="G16" s="40">
        <f>3854.789-D16</f>
        <v>1599.1690000000003</v>
      </c>
      <c r="H16" s="42">
        <v>196.59800000000001</v>
      </c>
      <c r="I16" s="42">
        <f>162+735+142.5+2200</f>
        <v>3239.5</v>
      </c>
      <c r="J16" s="42">
        <f>2+185.45</f>
        <v>187.45</v>
      </c>
      <c r="K16" s="42">
        <v>150</v>
      </c>
      <c r="L16" s="42">
        <v>0</v>
      </c>
      <c r="M16" s="42">
        <f t="shared" si="12"/>
        <v>7454.0990000000002</v>
      </c>
      <c r="N16" s="42">
        <f t="shared" ref="N16:N25" si="21">S16+X16+AC16</f>
        <v>1800.7760000000001</v>
      </c>
      <c r="O16" s="42">
        <f t="shared" si="13"/>
        <v>597.22699999999998</v>
      </c>
      <c r="P16" s="42">
        <f t="shared" si="14"/>
        <v>1339.462</v>
      </c>
      <c r="Q16" s="42">
        <f t="shared" si="15"/>
        <v>3716.634</v>
      </c>
      <c r="R16" s="44">
        <f t="shared" si="16"/>
        <v>7285.7669999999998</v>
      </c>
      <c r="S16" s="44">
        <f>609.763+1064.885</f>
        <v>1674.6480000000001</v>
      </c>
      <c r="T16" s="44">
        <f>243.956+318.503</f>
        <v>562.45899999999995</v>
      </c>
      <c r="U16" s="44">
        <v>1334.027</v>
      </c>
      <c r="V16" s="44">
        <f>7285.767-S16-T16-U16</f>
        <v>3714.6329999999998</v>
      </c>
      <c r="W16" s="45">
        <f t="shared" si="17"/>
        <v>0</v>
      </c>
      <c r="X16" s="45">
        <v>0</v>
      </c>
      <c r="Y16" s="45">
        <v>0</v>
      </c>
      <c r="Z16" s="45">
        <v>0</v>
      </c>
      <c r="AA16" s="45">
        <v>0</v>
      </c>
      <c r="AB16" s="42">
        <f t="shared" si="18"/>
        <v>168.33200000000002</v>
      </c>
      <c r="AC16" s="42">
        <v>126.128</v>
      </c>
      <c r="AD16" s="42">
        <v>34.768000000000001</v>
      </c>
      <c r="AE16" s="42">
        <v>5.4349999999999996</v>
      </c>
      <c r="AF16" s="42">
        <f>168.332-AC16-AD16-AE16</f>
        <v>2.0009999999999932</v>
      </c>
      <c r="AG16" s="42">
        <f t="shared" si="19"/>
        <v>0</v>
      </c>
      <c r="AH16" s="42">
        <v>0</v>
      </c>
      <c r="AI16" s="42">
        <v>0</v>
      </c>
      <c r="AJ16" s="42">
        <v>0</v>
      </c>
      <c r="AK16" s="42">
        <v>0</v>
      </c>
      <c r="AL16" s="32">
        <f t="shared" ref="AL16:AL22" si="22">B16-M16</f>
        <v>-22.359999999999673</v>
      </c>
      <c r="AM16" s="32">
        <f t="shared" si="7"/>
        <v>0</v>
      </c>
      <c r="AN16" s="32">
        <v>0</v>
      </c>
      <c r="AO16" s="32">
        <v>0</v>
      </c>
      <c r="AP16" s="32">
        <f t="shared" ref="AP16:AP22" si="23">AQ16-AR16</f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f t="shared" ref="AU16:AU22" si="24">-AL16</f>
        <v>22.359999999999673</v>
      </c>
      <c r="AV16" s="32">
        <f t="shared" si="20"/>
        <v>1162.921</v>
      </c>
      <c r="AW16" s="32">
        <v>735.89099999999996</v>
      </c>
      <c r="AX16" s="32">
        <f>AC16</f>
        <v>126.128</v>
      </c>
      <c r="AY16" s="32">
        <v>278.72500000000002</v>
      </c>
      <c r="AZ16" s="32">
        <f>AD16</f>
        <v>34.768000000000001</v>
      </c>
      <c r="BA16" s="32">
        <f>1162.921-AY16-AW16</f>
        <v>148.30500000000006</v>
      </c>
      <c r="BB16" s="32">
        <v>7.4349999999999996</v>
      </c>
      <c r="BC16" s="32">
        <f t="shared" si="8"/>
        <v>371.42480999999998</v>
      </c>
      <c r="BD16" s="32">
        <f>371.42481-BE16-BF16</f>
        <v>371.42480999999998</v>
      </c>
      <c r="BE16" s="32">
        <v>0</v>
      </c>
      <c r="BF16" s="32">
        <v>0</v>
      </c>
      <c r="BG16" s="32">
        <f t="shared" si="10"/>
        <v>349.06800000000004</v>
      </c>
      <c r="BH16" s="32">
        <v>329.95100000000002</v>
      </c>
      <c r="BI16" s="32">
        <v>19.117000000000001</v>
      </c>
      <c r="BJ16" s="32">
        <v>0</v>
      </c>
      <c r="BK16" s="32">
        <v>0</v>
      </c>
      <c r="BL16" s="32">
        <f t="shared" ref="BL16:BL25" si="25">F16+BM16</f>
        <v>1896.2557899999999</v>
      </c>
      <c r="BM16" s="32">
        <v>0</v>
      </c>
      <c r="BN16" s="32">
        <v>984.88499999999999</v>
      </c>
      <c r="BO16" s="32">
        <v>0</v>
      </c>
      <c r="BP16" s="32">
        <f t="shared" ref="BP16:BP22" si="26">BL16-BN16</f>
        <v>911.37078999999994</v>
      </c>
      <c r="BQ16" s="32">
        <v>0</v>
      </c>
      <c r="BR16" s="32">
        <v>0</v>
      </c>
      <c r="BS16" s="32">
        <v>0</v>
      </c>
      <c r="BT16" s="32">
        <v>0</v>
      </c>
      <c r="BU16" s="32">
        <v>0</v>
      </c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>
        <v>0</v>
      </c>
      <c r="CB16" s="32">
        <v>0</v>
      </c>
      <c r="CC16" s="32">
        <v>0</v>
      </c>
      <c r="CD16" s="32">
        <v>0</v>
      </c>
      <c r="CE16" s="32">
        <v>0</v>
      </c>
      <c r="CF16" s="32">
        <v>0</v>
      </c>
      <c r="CG16" s="32">
        <v>0</v>
      </c>
      <c r="CH16" s="32">
        <v>0</v>
      </c>
    </row>
    <row r="17" spans="1:86" ht="17.45" customHeight="1">
      <c r="A17" s="39" t="s">
        <v>78</v>
      </c>
      <c r="B17" s="42">
        <f t="shared" ref="B17:B22" si="27">C17+J17+K17+L17</f>
        <v>1956.9179999999999</v>
      </c>
      <c r="C17" s="42">
        <f t="shared" si="11"/>
        <v>1880.318</v>
      </c>
      <c r="D17" s="40">
        <v>939.06899999999996</v>
      </c>
      <c r="E17" s="40">
        <v>118.904</v>
      </c>
      <c r="F17" s="42">
        <v>764.25599999999997</v>
      </c>
      <c r="G17" s="40">
        <f>1084.018-D17</f>
        <v>144.94900000000007</v>
      </c>
      <c r="H17" s="42">
        <v>62.851999999999997</v>
      </c>
      <c r="I17" s="42">
        <f>334+462.3</f>
        <v>796.3</v>
      </c>
      <c r="J17" s="42">
        <f>2+74.6</f>
        <v>76.599999999999994</v>
      </c>
      <c r="K17" s="42">
        <v>0</v>
      </c>
      <c r="L17" s="42">
        <v>0</v>
      </c>
      <c r="M17" s="42">
        <f t="shared" si="12"/>
        <v>1982.8260000000002</v>
      </c>
      <c r="N17" s="42">
        <f t="shared" si="21"/>
        <v>643.25400000000002</v>
      </c>
      <c r="O17" s="42">
        <f t="shared" si="13"/>
        <v>169.047</v>
      </c>
      <c r="P17" s="42">
        <f t="shared" si="14"/>
        <v>137.13999999999999</v>
      </c>
      <c r="Q17" s="42">
        <f t="shared" si="15"/>
        <v>1033.3850000000002</v>
      </c>
      <c r="R17" s="44">
        <f t="shared" si="16"/>
        <v>1919.9300000000003</v>
      </c>
      <c r="S17" s="44">
        <v>595.06600000000003</v>
      </c>
      <c r="T17" s="44">
        <v>156.339</v>
      </c>
      <c r="U17" s="44">
        <v>137.13999999999999</v>
      </c>
      <c r="V17" s="44">
        <f>1919.93-S17-T17-U17</f>
        <v>1031.3850000000002</v>
      </c>
      <c r="W17" s="45">
        <f t="shared" si="17"/>
        <v>0</v>
      </c>
      <c r="X17" s="45">
        <v>0</v>
      </c>
      <c r="Y17" s="45">
        <v>0</v>
      </c>
      <c r="Z17" s="45">
        <v>0</v>
      </c>
      <c r="AA17" s="45">
        <v>0</v>
      </c>
      <c r="AB17" s="42">
        <f t="shared" si="18"/>
        <v>62.896000000000001</v>
      </c>
      <c r="AC17" s="42">
        <v>48.188000000000002</v>
      </c>
      <c r="AD17" s="42">
        <v>12.708</v>
      </c>
      <c r="AE17" s="42">
        <v>0</v>
      </c>
      <c r="AF17" s="42">
        <f>62.896-AC17-AD17-AE17</f>
        <v>1.9999999999999982</v>
      </c>
      <c r="AG17" s="42">
        <f t="shared" si="19"/>
        <v>0</v>
      </c>
      <c r="AH17" s="42">
        <v>0</v>
      </c>
      <c r="AI17" s="42">
        <v>0</v>
      </c>
      <c r="AJ17" s="42">
        <v>0</v>
      </c>
      <c r="AK17" s="42">
        <v>0</v>
      </c>
      <c r="AL17" s="32">
        <f t="shared" si="22"/>
        <v>-25.908000000000357</v>
      </c>
      <c r="AM17" s="32">
        <f t="shared" si="7"/>
        <v>0</v>
      </c>
      <c r="AN17" s="32">
        <v>0</v>
      </c>
      <c r="AO17" s="32">
        <v>0</v>
      </c>
      <c r="AP17" s="32">
        <f t="shared" si="23"/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f t="shared" si="24"/>
        <v>25.908000000000357</v>
      </c>
      <c r="AV17" s="32">
        <f t="shared" si="20"/>
        <v>815.23</v>
      </c>
      <c r="AW17" s="32">
        <v>643.255</v>
      </c>
      <c r="AX17" s="32">
        <f t="shared" ref="AX17:AX22" si="28">AC17</f>
        <v>48.188000000000002</v>
      </c>
      <c r="AY17" s="32">
        <v>169.047</v>
      </c>
      <c r="AZ17" s="32">
        <f t="shared" ref="AZ17:AZ22" si="29">AD17</f>
        <v>12.708</v>
      </c>
      <c r="BA17" s="32">
        <f>815.23-AY17-AW17</f>
        <v>2.9279999999999973</v>
      </c>
      <c r="BB17" s="32">
        <v>2</v>
      </c>
      <c r="BC17" s="32">
        <f t="shared" si="8"/>
        <v>214.01782</v>
      </c>
      <c r="BD17" s="32">
        <f>214.01782-BE17-BF17</f>
        <v>214.01782</v>
      </c>
      <c r="BE17" s="32">
        <v>0</v>
      </c>
      <c r="BF17" s="32">
        <v>0</v>
      </c>
      <c r="BG17" s="32">
        <f t="shared" si="10"/>
        <v>188.108</v>
      </c>
      <c r="BH17" s="32">
        <v>174.405</v>
      </c>
      <c r="BI17" s="32">
        <v>13.702999999999999</v>
      </c>
      <c r="BJ17" s="32">
        <v>0</v>
      </c>
      <c r="BK17" s="32">
        <v>0</v>
      </c>
      <c r="BL17" s="32">
        <f t="shared" si="25"/>
        <v>764.25599999999997</v>
      </c>
      <c r="BM17" s="32">
        <v>0</v>
      </c>
      <c r="BN17" s="32">
        <v>680.95899999999995</v>
      </c>
      <c r="BO17" s="32">
        <v>0</v>
      </c>
      <c r="BP17" s="32">
        <f t="shared" si="26"/>
        <v>83.297000000000025</v>
      </c>
      <c r="BQ17" s="32">
        <f t="shared" ref="BQ17:BQ25" si="30">BR17+BS17</f>
        <v>0</v>
      </c>
      <c r="BR17" s="32">
        <v>0</v>
      </c>
      <c r="BS17" s="32">
        <v>0</v>
      </c>
      <c r="BT17" s="32">
        <v>0</v>
      </c>
      <c r="BU17" s="32">
        <v>0</v>
      </c>
      <c r="BV17" s="32">
        <v>0</v>
      </c>
      <c r="BW17" s="32">
        <v>0</v>
      </c>
      <c r="BX17" s="32">
        <v>0</v>
      </c>
      <c r="BY17" s="32">
        <v>0</v>
      </c>
      <c r="BZ17" s="32">
        <v>0</v>
      </c>
      <c r="CA17" s="32">
        <v>0</v>
      </c>
      <c r="CB17" s="32">
        <v>0</v>
      </c>
      <c r="CC17" s="32">
        <v>0</v>
      </c>
      <c r="CD17" s="32">
        <v>0</v>
      </c>
      <c r="CE17" s="32">
        <v>0</v>
      </c>
      <c r="CF17" s="32">
        <v>0</v>
      </c>
      <c r="CG17" s="32">
        <v>0</v>
      </c>
      <c r="CH17" s="32">
        <v>0</v>
      </c>
    </row>
    <row r="18" spans="1:86" ht="15.75">
      <c r="A18" s="39" t="s">
        <v>79</v>
      </c>
      <c r="B18" s="42">
        <f t="shared" si="27"/>
        <v>1790.1119999999999</v>
      </c>
      <c r="C18" s="42">
        <f t="shared" si="11"/>
        <v>1713.5119999999999</v>
      </c>
      <c r="D18" s="41">
        <v>804.63300000000004</v>
      </c>
      <c r="E18" s="40">
        <v>42.155000000000001</v>
      </c>
      <c r="F18" s="42">
        <v>387.75599999999997</v>
      </c>
      <c r="G18" s="40">
        <f>888.012-D18</f>
        <v>83.378999999999905</v>
      </c>
      <c r="H18" s="42">
        <v>29.216999999999999</v>
      </c>
      <c r="I18" s="42">
        <f>443.5+382</f>
        <v>825.5</v>
      </c>
      <c r="J18" s="42">
        <f>76.6</f>
        <v>76.599999999999994</v>
      </c>
      <c r="K18" s="42">
        <v>0</v>
      </c>
      <c r="L18" s="42">
        <v>0</v>
      </c>
      <c r="M18" s="42">
        <f t="shared" si="12"/>
        <v>1734.758</v>
      </c>
      <c r="N18" s="42">
        <f t="shared" si="21"/>
        <v>628.75100000000009</v>
      </c>
      <c r="O18" s="42">
        <f t="shared" si="13"/>
        <v>174.16300000000001</v>
      </c>
      <c r="P18" s="42">
        <f t="shared" si="14"/>
        <v>557.97400000000005</v>
      </c>
      <c r="Q18" s="42">
        <f t="shared" si="15"/>
        <v>373.86999999999989</v>
      </c>
      <c r="R18" s="44">
        <f t="shared" si="16"/>
        <v>1669.8</v>
      </c>
      <c r="S18" s="44">
        <v>579.70000000000005</v>
      </c>
      <c r="T18" s="44">
        <v>160.256</v>
      </c>
      <c r="U18" s="44">
        <v>557.97400000000005</v>
      </c>
      <c r="V18" s="44">
        <f>1669.8-S18-T18-U18</f>
        <v>371.86999999999989</v>
      </c>
      <c r="W18" s="45">
        <f t="shared" si="17"/>
        <v>0</v>
      </c>
      <c r="X18" s="45">
        <v>0</v>
      </c>
      <c r="Y18" s="45">
        <v>0</v>
      </c>
      <c r="Z18" s="45">
        <v>0</v>
      </c>
      <c r="AA18" s="45">
        <v>0</v>
      </c>
      <c r="AB18" s="42">
        <f t="shared" si="18"/>
        <v>64.957999999999998</v>
      </c>
      <c r="AC18" s="42">
        <v>49.051000000000002</v>
      </c>
      <c r="AD18" s="42">
        <v>13.907</v>
      </c>
      <c r="AE18" s="42">
        <v>0</v>
      </c>
      <c r="AF18" s="42">
        <f>64.958-AC18-AD18-AE18</f>
        <v>1.9999999999999964</v>
      </c>
      <c r="AG18" s="42">
        <f t="shared" si="19"/>
        <v>0</v>
      </c>
      <c r="AH18" s="42">
        <v>0</v>
      </c>
      <c r="AI18" s="42">
        <v>0</v>
      </c>
      <c r="AJ18" s="42">
        <v>0</v>
      </c>
      <c r="AK18" s="42">
        <v>0</v>
      </c>
      <c r="AL18" s="32">
        <f t="shared" si="22"/>
        <v>55.353999999999814</v>
      </c>
      <c r="AM18" s="32">
        <f t="shared" si="7"/>
        <v>0</v>
      </c>
      <c r="AN18" s="32">
        <v>0</v>
      </c>
      <c r="AO18" s="32">
        <v>0</v>
      </c>
      <c r="AP18" s="32">
        <f t="shared" si="23"/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f t="shared" si="24"/>
        <v>-55.353999999999814</v>
      </c>
      <c r="AV18" s="32">
        <f t="shared" si="20"/>
        <v>1044.758</v>
      </c>
      <c r="AW18" s="32">
        <v>628.79100000000005</v>
      </c>
      <c r="AX18" s="32">
        <f t="shared" si="28"/>
        <v>49.051000000000002</v>
      </c>
      <c r="AY18" s="32">
        <v>174.16300000000001</v>
      </c>
      <c r="AZ18" s="32">
        <f t="shared" si="29"/>
        <v>13.907</v>
      </c>
      <c r="BA18" s="32">
        <f>1044.758-AY18-AW18</f>
        <v>241.80399999999997</v>
      </c>
      <c r="BB18" s="32">
        <v>2</v>
      </c>
      <c r="BC18" s="32">
        <f t="shared" si="8"/>
        <v>1280.85456</v>
      </c>
      <c r="BD18" s="32">
        <f>1280.85456-BE18-BF18</f>
        <v>1280.85456</v>
      </c>
      <c r="BE18" s="32">
        <v>0</v>
      </c>
      <c r="BF18" s="32">
        <v>0</v>
      </c>
      <c r="BG18" s="32">
        <f t="shared" si="10"/>
        <v>1336.1970000000001</v>
      </c>
      <c r="BH18" s="32">
        <v>1324.556</v>
      </c>
      <c r="BI18" s="32">
        <v>11.641</v>
      </c>
      <c r="BJ18" s="32">
        <v>0</v>
      </c>
      <c r="BK18" s="32">
        <v>0</v>
      </c>
      <c r="BL18" s="32">
        <f t="shared" si="25"/>
        <v>387.75599999999997</v>
      </c>
      <c r="BM18" s="32">
        <v>0</v>
      </c>
      <c r="BN18" s="32">
        <v>205.27099999999999</v>
      </c>
      <c r="BO18" s="32">
        <v>0</v>
      </c>
      <c r="BP18" s="32">
        <f t="shared" si="26"/>
        <v>182.48499999999999</v>
      </c>
      <c r="BQ18" s="32">
        <f t="shared" si="30"/>
        <v>0</v>
      </c>
      <c r="BR18" s="32">
        <v>0</v>
      </c>
      <c r="BS18" s="32">
        <v>0</v>
      </c>
      <c r="BT18" s="32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32">
        <v>0</v>
      </c>
      <c r="CE18" s="32">
        <v>0</v>
      </c>
      <c r="CF18" s="32">
        <v>0</v>
      </c>
      <c r="CG18" s="32">
        <v>0</v>
      </c>
      <c r="CH18" s="32">
        <v>0</v>
      </c>
    </row>
    <row r="19" spans="1:86" ht="15.75">
      <c r="A19" s="39" t="s">
        <v>80</v>
      </c>
      <c r="B19" s="42">
        <f t="shared" si="27"/>
        <v>1911.5419999999999</v>
      </c>
      <c r="C19" s="42">
        <f t="shared" si="11"/>
        <v>1834.942</v>
      </c>
      <c r="D19" s="40">
        <v>907.14599999999996</v>
      </c>
      <c r="E19" s="40">
        <v>73.403000000000006</v>
      </c>
      <c r="F19" s="42">
        <v>804.28200000000004</v>
      </c>
      <c r="G19" s="40">
        <f>1030.942-D19</f>
        <v>123.79600000000005</v>
      </c>
      <c r="H19" s="42">
        <v>9.8450000000000006</v>
      </c>
      <c r="I19" s="42">
        <f>318+486</f>
        <v>804</v>
      </c>
      <c r="J19" s="42">
        <v>76.599999999999994</v>
      </c>
      <c r="K19" s="42">
        <v>0</v>
      </c>
      <c r="L19" s="42">
        <v>0</v>
      </c>
      <c r="M19" s="42">
        <f t="shared" si="12"/>
        <v>1933.9259999999999</v>
      </c>
      <c r="N19" s="42">
        <f t="shared" si="21"/>
        <v>543.65100000000007</v>
      </c>
      <c r="O19" s="42">
        <f t="shared" si="13"/>
        <v>173.62200000000001</v>
      </c>
      <c r="P19" s="42">
        <f t="shared" si="14"/>
        <v>453.04399999999998</v>
      </c>
      <c r="Q19" s="42">
        <f t="shared" si="15"/>
        <v>763.60900000000004</v>
      </c>
      <c r="R19" s="44">
        <f t="shared" si="16"/>
        <v>1869.9679999999998</v>
      </c>
      <c r="S19" s="44">
        <v>495.6</v>
      </c>
      <c r="T19" s="44">
        <v>159.715</v>
      </c>
      <c r="U19" s="44">
        <v>453.04399999999998</v>
      </c>
      <c r="V19" s="44">
        <f>1869.968-S19-T19-U19</f>
        <v>761.60900000000004</v>
      </c>
      <c r="W19" s="45">
        <f t="shared" si="17"/>
        <v>0</v>
      </c>
      <c r="X19" s="45">
        <v>0</v>
      </c>
      <c r="Y19" s="45">
        <v>0</v>
      </c>
      <c r="Z19" s="45">
        <v>0</v>
      </c>
      <c r="AA19" s="45">
        <v>0</v>
      </c>
      <c r="AB19" s="42">
        <f t="shared" si="18"/>
        <v>63.957999999999998</v>
      </c>
      <c r="AC19" s="42">
        <v>48.051000000000002</v>
      </c>
      <c r="AD19" s="42">
        <v>13.907</v>
      </c>
      <c r="AE19" s="42">
        <v>0</v>
      </c>
      <c r="AF19" s="42">
        <f>63.958-AC19-AD19-AE19</f>
        <v>1.9999999999999964</v>
      </c>
      <c r="AG19" s="42">
        <f t="shared" si="19"/>
        <v>0</v>
      </c>
      <c r="AH19" s="42">
        <v>0</v>
      </c>
      <c r="AI19" s="42">
        <v>0</v>
      </c>
      <c r="AJ19" s="42">
        <v>0</v>
      </c>
      <c r="AK19" s="42">
        <v>0</v>
      </c>
      <c r="AL19" s="32">
        <f t="shared" si="22"/>
        <v>-22.384000000000015</v>
      </c>
      <c r="AM19" s="42">
        <f t="shared" si="7"/>
        <v>0</v>
      </c>
      <c r="AN19" s="32">
        <v>0</v>
      </c>
      <c r="AO19" s="32">
        <v>0</v>
      </c>
      <c r="AP19" s="32">
        <f t="shared" si="23"/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f t="shared" si="24"/>
        <v>22.384000000000015</v>
      </c>
      <c r="AV19" s="32">
        <f t="shared" si="20"/>
        <v>986.54300000000001</v>
      </c>
      <c r="AW19" s="42">
        <v>543.66099999999994</v>
      </c>
      <c r="AX19" s="32">
        <f t="shared" si="28"/>
        <v>48.051000000000002</v>
      </c>
      <c r="AY19" s="42">
        <v>173.62200000000001</v>
      </c>
      <c r="AZ19" s="32">
        <f t="shared" si="29"/>
        <v>13.907</v>
      </c>
      <c r="BA19" s="32">
        <f>986.543-AY19-AW19</f>
        <v>269.2600000000001</v>
      </c>
      <c r="BB19" s="32">
        <v>2</v>
      </c>
      <c r="BC19" s="32">
        <f t="shared" si="8"/>
        <v>23.021090000000001</v>
      </c>
      <c r="BD19" s="32">
        <f>23.02109-BE19-BF19</f>
        <v>23.021090000000001</v>
      </c>
      <c r="BE19" s="32">
        <v>0</v>
      </c>
      <c r="BF19" s="32">
        <v>0</v>
      </c>
      <c r="BG19" s="42">
        <f t="shared" si="10"/>
        <v>0.63599999999999923</v>
      </c>
      <c r="BH19" s="32">
        <v>-12.005000000000001</v>
      </c>
      <c r="BI19" s="32">
        <v>12.641</v>
      </c>
      <c r="BJ19" s="32">
        <v>0</v>
      </c>
      <c r="BK19" s="42">
        <v>0</v>
      </c>
      <c r="BL19" s="32">
        <f t="shared" si="25"/>
        <v>804.28200000000004</v>
      </c>
      <c r="BM19" s="32">
        <v>0</v>
      </c>
      <c r="BN19" s="32">
        <v>794.75699999999995</v>
      </c>
      <c r="BO19" s="32">
        <v>0</v>
      </c>
      <c r="BP19" s="32">
        <f t="shared" si="26"/>
        <v>9.5250000000000909</v>
      </c>
      <c r="BQ19" s="32">
        <f t="shared" si="30"/>
        <v>0</v>
      </c>
      <c r="BR19" s="32">
        <v>0</v>
      </c>
      <c r="BS19" s="32">
        <v>0</v>
      </c>
      <c r="BT19" s="32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32">
        <v>0</v>
      </c>
      <c r="CE19" s="32">
        <v>0</v>
      </c>
      <c r="CF19" s="32">
        <v>0</v>
      </c>
      <c r="CG19" s="32">
        <v>0</v>
      </c>
      <c r="CH19" s="32">
        <v>0</v>
      </c>
    </row>
    <row r="20" spans="1:86" ht="15.75">
      <c r="A20" s="39" t="s">
        <v>81</v>
      </c>
      <c r="B20" s="42">
        <f t="shared" si="27"/>
        <v>1698.5739999999998</v>
      </c>
      <c r="C20" s="42">
        <f t="shared" si="11"/>
        <v>1621.9739999999999</v>
      </c>
      <c r="D20" s="40">
        <v>502.67399999999998</v>
      </c>
      <c r="E20" s="40">
        <v>17.34</v>
      </c>
      <c r="F20" s="42">
        <v>236.40600000000001</v>
      </c>
      <c r="G20" s="40">
        <v>0</v>
      </c>
      <c r="H20" s="42">
        <v>0</v>
      </c>
      <c r="I20" s="42">
        <f>792+327.3</f>
        <v>1119.3</v>
      </c>
      <c r="J20" s="42">
        <v>76.599999999999994</v>
      </c>
      <c r="K20" s="42">
        <v>0</v>
      </c>
      <c r="L20" s="42">
        <v>0</v>
      </c>
      <c r="M20" s="42">
        <f t="shared" si="12"/>
        <v>1370.653</v>
      </c>
      <c r="N20" s="42">
        <f t="shared" si="21"/>
        <v>483.517</v>
      </c>
      <c r="O20" s="42">
        <f t="shared" si="13"/>
        <v>136.21299999999999</v>
      </c>
      <c r="P20" s="42">
        <f t="shared" si="14"/>
        <v>227.33600000000001</v>
      </c>
      <c r="Q20" s="42">
        <f t="shared" si="15"/>
        <v>523.58699999999999</v>
      </c>
      <c r="R20" s="44">
        <f t="shared" si="16"/>
        <v>1308.895</v>
      </c>
      <c r="S20" s="44">
        <v>435.666</v>
      </c>
      <c r="T20" s="44">
        <v>122.306</v>
      </c>
      <c r="U20" s="44">
        <v>227.33600000000001</v>
      </c>
      <c r="V20" s="44">
        <f>1308.895-S20-T20-U20</f>
        <v>523.58699999999999</v>
      </c>
      <c r="W20" s="45">
        <f t="shared" si="17"/>
        <v>0</v>
      </c>
      <c r="X20" s="45">
        <v>0</v>
      </c>
      <c r="Y20" s="45">
        <v>0</v>
      </c>
      <c r="Z20" s="45">
        <v>0</v>
      </c>
      <c r="AA20" s="45">
        <v>0</v>
      </c>
      <c r="AB20" s="42">
        <f t="shared" si="18"/>
        <v>61.757999999999996</v>
      </c>
      <c r="AC20" s="42">
        <v>47.850999999999999</v>
      </c>
      <c r="AD20" s="42">
        <v>13.907</v>
      </c>
      <c r="AE20" s="42">
        <v>0</v>
      </c>
      <c r="AF20" s="42">
        <f>61.758-AC20-AD20-AE20</f>
        <v>3.5527136788005009E-15</v>
      </c>
      <c r="AG20" s="42">
        <f t="shared" si="19"/>
        <v>0</v>
      </c>
      <c r="AH20" s="42">
        <v>0</v>
      </c>
      <c r="AI20" s="42">
        <v>0</v>
      </c>
      <c r="AJ20" s="42">
        <v>0</v>
      </c>
      <c r="AK20" s="42">
        <v>0</v>
      </c>
      <c r="AL20" s="32">
        <f t="shared" si="22"/>
        <v>327.92099999999982</v>
      </c>
      <c r="AM20" s="42">
        <f t="shared" si="7"/>
        <v>0</v>
      </c>
      <c r="AN20" s="32">
        <v>0</v>
      </c>
      <c r="AO20" s="32">
        <v>0</v>
      </c>
      <c r="AP20" s="32">
        <f t="shared" si="23"/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f t="shared" si="24"/>
        <v>-327.92099999999982</v>
      </c>
      <c r="AV20" s="32">
        <f t="shared" si="20"/>
        <v>819.39200000000005</v>
      </c>
      <c r="AW20" s="42">
        <v>483.51799999999997</v>
      </c>
      <c r="AX20" s="32">
        <f t="shared" si="28"/>
        <v>47.850999999999999</v>
      </c>
      <c r="AY20" s="42">
        <v>136.214</v>
      </c>
      <c r="AZ20" s="32">
        <f t="shared" si="29"/>
        <v>13.907</v>
      </c>
      <c r="BA20" s="32">
        <f>819.392-AY20-AW20</f>
        <v>199.66000000000014</v>
      </c>
      <c r="BB20" s="32"/>
      <c r="BC20" s="32">
        <f t="shared" si="8"/>
        <v>945.67007000000001</v>
      </c>
      <c r="BD20" s="32">
        <f>945.67007-BE20-BF20</f>
        <v>945.67007000000001</v>
      </c>
      <c r="BE20" s="32">
        <v>0</v>
      </c>
      <c r="BF20" s="32">
        <v>0</v>
      </c>
      <c r="BG20" s="42">
        <f t="shared" si="10"/>
        <v>1273.5899999999999</v>
      </c>
      <c r="BH20" s="32">
        <v>1258.749</v>
      </c>
      <c r="BI20" s="32">
        <v>14.840999999999999</v>
      </c>
      <c r="BJ20" s="32">
        <v>0</v>
      </c>
      <c r="BK20" s="42">
        <v>0</v>
      </c>
      <c r="BL20" s="32">
        <f t="shared" si="25"/>
        <v>236.40600000000001</v>
      </c>
      <c r="BM20" s="32">
        <v>0</v>
      </c>
      <c r="BN20" s="32">
        <v>297.14999999999998</v>
      </c>
      <c r="BO20" s="32">
        <v>0</v>
      </c>
      <c r="BP20" s="32">
        <f t="shared" si="26"/>
        <v>-60.743999999999971</v>
      </c>
      <c r="BQ20" s="32">
        <f t="shared" si="30"/>
        <v>0</v>
      </c>
      <c r="BR20" s="32">
        <v>0</v>
      </c>
      <c r="BS20" s="32">
        <v>0</v>
      </c>
      <c r="BT20" s="32">
        <v>0</v>
      </c>
      <c r="BU20" s="32">
        <v>0</v>
      </c>
      <c r="BV20" s="32">
        <v>0</v>
      </c>
      <c r="BW20" s="32">
        <v>0</v>
      </c>
      <c r="BX20" s="32">
        <v>0</v>
      </c>
      <c r="BY20" s="32">
        <v>0</v>
      </c>
      <c r="BZ20" s="32">
        <v>0</v>
      </c>
      <c r="CA20" s="32">
        <v>0</v>
      </c>
      <c r="CB20" s="32">
        <v>0</v>
      </c>
      <c r="CC20" s="32">
        <v>0</v>
      </c>
      <c r="CD20" s="32">
        <v>0</v>
      </c>
      <c r="CE20" s="32">
        <v>0</v>
      </c>
      <c r="CF20" s="32">
        <v>0</v>
      </c>
      <c r="CG20" s="32">
        <v>0</v>
      </c>
      <c r="CH20" s="32">
        <v>0</v>
      </c>
    </row>
    <row r="21" spans="1:86" ht="15.75">
      <c r="A21" s="39" t="s">
        <v>82</v>
      </c>
      <c r="B21" s="42">
        <f t="shared" si="27"/>
        <v>1751.4569999999999</v>
      </c>
      <c r="C21" s="42">
        <f t="shared" si="11"/>
        <v>1674.357</v>
      </c>
      <c r="D21" s="41">
        <v>600.87900000000002</v>
      </c>
      <c r="E21" s="40">
        <v>41.103999999999999</v>
      </c>
      <c r="F21" s="42">
        <v>551.61500000000001</v>
      </c>
      <c r="G21" s="40">
        <f>738.857-D21</f>
        <v>137.97799999999995</v>
      </c>
      <c r="H21" s="42">
        <v>0</v>
      </c>
      <c r="I21" s="42">
        <f>523.5+412</f>
        <v>935.5</v>
      </c>
      <c r="J21" s="42">
        <v>76.599999999999994</v>
      </c>
      <c r="K21" s="42">
        <v>0.5</v>
      </c>
      <c r="L21" s="42">
        <v>0</v>
      </c>
      <c r="M21" s="42">
        <f t="shared" si="12"/>
        <v>1314.114</v>
      </c>
      <c r="N21" s="42">
        <f t="shared" si="21"/>
        <v>540.91899999999998</v>
      </c>
      <c r="O21" s="42">
        <f t="shared" si="13"/>
        <v>149.29400000000001</v>
      </c>
      <c r="P21" s="42">
        <f t="shared" si="14"/>
        <v>102.407</v>
      </c>
      <c r="Q21" s="42">
        <f t="shared" si="15"/>
        <v>521.49400000000003</v>
      </c>
      <c r="R21" s="44">
        <f t="shared" si="16"/>
        <v>1253.5640000000001</v>
      </c>
      <c r="S21" s="44">
        <v>494.18200000000002</v>
      </c>
      <c r="T21" s="44">
        <v>135.482</v>
      </c>
      <c r="U21" s="44">
        <v>102.407</v>
      </c>
      <c r="V21" s="44">
        <f>1253.564-S21-T21-U21</f>
        <v>521.49300000000005</v>
      </c>
      <c r="W21" s="45">
        <f t="shared" si="17"/>
        <v>0</v>
      </c>
      <c r="X21" s="45">
        <v>0</v>
      </c>
      <c r="Y21" s="45">
        <v>0</v>
      </c>
      <c r="Z21" s="45">
        <v>0</v>
      </c>
      <c r="AA21" s="45">
        <v>0</v>
      </c>
      <c r="AB21" s="42">
        <f>AC21+AD21+AE21+AF21</f>
        <v>60.55</v>
      </c>
      <c r="AC21" s="42">
        <v>46.737000000000002</v>
      </c>
      <c r="AD21" s="42">
        <v>13.811999999999999</v>
      </c>
      <c r="AE21" s="42">
        <v>0</v>
      </c>
      <c r="AF21" s="42">
        <f>60.55-AC21-AD21-AE21</f>
        <v>9.9999999999589306E-4</v>
      </c>
      <c r="AG21" s="42">
        <f t="shared" si="19"/>
        <v>0</v>
      </c>
      <c r="AH21" s="42">
        <v>0</v>
      </c>
      <c r="AI21" s="42">
        <v>0</v>
      </c>
      <c r="AJ21" s="42">
        <v>0</v>
      </c>
      <c r="AK21" s="42">
        <v>0</v>
      </c>
      <c r="AL21" s="32">
        <f t="shared" si="22"/>
        <v>437.34299999999985</v>
      </c>
      <c r="AM21" s="42">
        <f t="shared" si="7"/>
        <v>0</v>
      </c>
      <c r="AN21" s="32">
        <v>0</v>
      </c>
      <c r="AO21" s="32">
        <v>0</v>
      </c>
      <c r="AP21" s="32">
        <f t="shared" si="23"/>
        <v>0</v>
      </c>
      <c r="AQ21" s="32">
        <v>0</v>
      </c>
      <c r="AR21" s="32">
        <v>0</v>
      </c>
      <c r="AS21" s="32">
        <v>0</v>
      </c>
      <c r="AT21" s="32">
        <v>0</v>
      </c>
      <c r="AU21" s="32">
        <f t="shared" si="24"/>
        <v>-437.34299999999985</v>
      </c>
      <c r="AV21" s="32">
        <f t="shared" si="20"/>
        <v>825.48299999999995</v>
      </c>
      <c r="AW21" s="42">
        <v>540.91999999999996</v>
      </c>
      <c r="AX21" s="32">
        <f t="shared" si="28"/>
        <v>46.737000000000002</v>
      </c>
      <c r="AY21" s="42">
        <v>149.29400000000001</v>
      </c>
      <c r="AZ21" s="32">
        <f t="shared" si="29"/>
        <v>13.811999999999999</v>
      </c>
      <c r="BA21" s="32">
        <f>825.483-AY21-AW21</f>
        <v>135.26900000000001</v>
      </c>
      <c r="BB21" s="32"/>
      <c r="BC21" s="32">
        <f t="shared" si="8"/>
        <v>976.62377000000004</v>
      </c>
      <c r="BD21" s="32">
        <f>976.62377-BE21-BF21</f>
        <v>976.62377000000004</v>
      </c>
      <c r="BE21" s="32">
        <v>0</v>
      </c>
      <c r="BF21" s="32">
        <v>0</v>
      </c>
      <c r="BG21" s="42">
        <f t="shared" si="10"/>
        <v>1413.9649999999999</v>
      </c>
      <c r="BH21" s="32">
        <v>1397.9159999999999</v>
      </c>
      <c r="BI21" s="32">
        <v>16.048999999999999</v>
      </c>
      <c r="BJ21" s="32">
        <v>0</v>
      </c>
      <c r="BK21" s="42">
        <v>0</v>
      </c>
      <c r="BL21" s="32">
        <f t="shared" si="25"/>
        <v>551.61500000000001</v>
      </c>
      <c r="BM21" s="32">
        <v>0</v>
      </c>
      <c r="BN21" s="32">
        <v>333.34699999999998</v>
      </c>
      <c r="BO21" s="32">
        <v>0</v>
      </c>
      <c r="BP21" s="32">
        <f t="shared" si="26"/>
        <v>218.26800000000003</v>
      </c>
      <c r="BQ21" s="32">
        <v>0</v>
      </c>
      <c r="BR21" s="32">
        <v>0</v>
      </c>
      <c r="BS21" s="32">
        <v>0</v>
      </c>
      <c r="BT21" s="32">
        <v>0</v>
      </c>
      <c r="BU21" s="32">
        <v>0</v>
      </c>
      <c r="BV21" s="32">
        <v>0</v>
      </c>
      <c r="BW21" s="32">
        <v>0</v>
      </c>
      <c r="BX21" s="32">
        <v>0</v>
      </c>
      <c r="BY21" s="32">
        <v>0</v>
      </c>
      <c r="BZ21" s="32">
        <v>0</v>
      </c>
      <c r="CA21" s="32">
        <v>0</v>
      </c>
      <c r="CB21" s="32">
        <v>0</v>
      </c>
      <c r="CC21" s="32">
        <v>0</v>
      </c>
      <c r="CD21" s="32">
        <v>0</v>
      </c>
      <c r="CE21" s="32">
        <v>0</v>
      </c>
      <c r="CF21" s="32">
        <v>0</v>
      </c>
      <c r="CG21" s="32">
        <v>0</v>
      </c>
      <c r="CH21" s="32">
        <v>0</v>
      </c>
    </row>
    <row r="22" spans="1:86" ht="15.75">
      <c r="A22" s="39" t="s">
        <v>83</v>
      </c>
      <c r="B22" s="42">
        <f t="shared" si="27"/>
        <v>1429.7379999999998</v>
      </c>
      <c r="C22" s="42">
        <f t="shared" si="11"/>
        <v>1353.1379999999999</v>
      </c>
      <c r="D22" s="40">
        <v>427.13799999999998</v>
      </c>
      <c r="E22" s="40">
        <v>73.08</v>
      </c>
      <c r="F22" s="42">
        <v>343.97699999999998</v>
      </c>
      <c r="G22" s="40">
        <v>0</v>
      </c>
      <c r="H22" s="42">
        <v>0</v>
      </c>
      <c r="I22" s="42">
        <f>511+415</f>
        <v>926</v>
      </c>
      <c r="J22" s="42">
        <v>76.599999999999994</v>
      </c>
      <c r="K22" s="42">
        <v>0</v>
      </c>
      <c r="L22" s="42">
        <v>0</v>
      </c>
      <c r="M22" s="42">
        <f t="shared" si="12"/>
        <v>1183.749</v>
      </c>
      <c r="N22" s="42">
        <f t="shared" si="21"/>
        <v>656.60199999999998</v>
      </c>
      <c r="O22" s="42">
        <f t="shared" si="13"/>
        <v>166.34700000000001</v>
      </c>
      <c r="P22" s="42">
        <f t="shared" si="14"/>
        <v>127.49</v>
      </c>
      <c r="Q22" s="42">
        <f t="shared" si="15"/>
        <v>233.31000000000009</v>
      </c>
      <c r="R22" s="44">
        <f t="shared" si="16"/>
        <v>1123.1990000000001</v>
      </c>
      <c r="S22" s="44">
        <v>609.86500000000001</v>
      </c>
      <c r="T22" s="44">
        <v>152.535</v>
      </c>
      <c r="U22" s="44">
        <v>127.49</v>
      </c>
      <c r="V22" s="44">
        <f>1123.199-S22-T22-U22</f>
        <v>233.30900000000008</v>
      </c>
      <c r="W22" s="45">
        <f t="shared" si="17"/>
        <v>0</v>
      </c>
      <c r="X22" s="45">
        <v>0</v>
      </c>
      <c r="Y22" s="45">
        <v>0</v>
      </c>
      <c r="Z22" s="45">
        <v>0</v>
      </c>
      <c r="AA22" s="45">
        <v>0</v>
      </c>
      <c r="AB22" s="42">
        <f t="shared" si="18"/>
        <v>60.55</v>
      </c>
      <c r="AC22" s="42">
        <v>46.737000000000002</v>
      </c>
      <c r="AD22" s="42">
        <v>13.811999999999999</v>
      </c>
      <c r="AE22" s="42">
        <v>0</v>
      </c>
      <c r="AF22" s="42">
        <f>60.55-AC22-AD22-AE22</f>
        <v>9.9999999999589306E-4</v>
      </c>
      <c r="AG22" s="42">
        <f t="shared" si="19"/>
        <v>0</v>
      </c>
      <c r="AH22" s="42">
        <v>0</v>
      </c>
      <c r="AI22" s="42">
        <v>0</v>
      </c>
      <c r="AJ22" s="42">
        <v>0</v>
      </c>
      <c r="AK22" s="42">
        <v>0</v>
      </c>
      <c r="AL22" s="32">
        <f t="shared" si="22"/>
        <v>245.98899999999981</v>
      </c>
      <c r="AM22" s="42">
        <f t="shared" si="7"/>
        <v>0</v>
      </c>
      <c r="AN22" s="32">
        <v>0</v>
      </c>
      <c r="AO22" s="32">
        <v>0</v>
      </c>
      <c r="AP22" s="32">
        <f t="shared" si="23"/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f t="shared" si="24"/>
        <v>-245.98899999999981</v>
      </c>
      <c r="AV22" s="32">
        <f t="shared" si="20"/>
        <v>918.45400000000006</v>
      </c>
      <c r="AW22" s="42">
        <v>656.60299999999995</v>
      </c>
      <c r="AX22" s="32">
        <f t="shared" si="28"/>
        <v>46.737000000000002</v>
      </c>
      <c r="AY22" s="42">
        <v>166.34800000000001</v>
      </c>
      <c r="AZ22" s="32">
        <f t="shared" si="29"/>
        <v>13.811999999999999</v>
      </c>
      <c r="BA22" s="32">
        <f>918.454-AY22-AW22</f>
        <v>95.503000000000043</v>
      </c>
      <c r="BB22" s="32"/>
      <c r="BC22" s="32">
        <f t="shared" si="8"/>
        <v>296.22705000000002</v>
      </c>
      <c r="BD22" s="32">
        <f>296.22705-BE22-BF22</f>
        <v>296.22705000000002</v>
      </c>
      <c r="BE22" s="32">
        <v>0</v>
      </c>
      <c r="BF22" s="32">
        <v>0</v>
      </c>
      <c r="BG22" s="42">
        <f t="shared" si="10"/>
        <v>542.21500000000003</v>
      </c>
      <c r="BH22" s="32">
        <v>526.16600000000005</v>
      </c>
      <c r="BI22" s="32">
        <v>16.048999999999999</v>
      </c>
      <c r="BJ22" s="32">
        <v>0</v>
      </c>
      <c r="BK22" s="42">
        <v>0</v>
      </c>
      <c r="BL22" s="32">
        <f t="shared" si="25"/>
        <v>343.97699999999998</v>
      </c>
      <c r="BM22" s="32">
        <v>0</v>
      </c>
      <c r="BN22" s="32">
        <v>202.428</v>
      </c>
      <c r="BO22" s="32">
        <v>0</v>
      </c>
      <c r="BP22" s="32">
        <f t="shared" si="26"/>
        <v>141.54899999999998</v>
      </c>
      <c r="BQ22" s="32">
        <f t="shared" si="30"/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>
        <v>0</v>
      </c>
      <c r="CH22" s="32">
        <v>0</v>
      </c>
    </row>
    <row r="23" spans="1:86" hidden="1">
      <c r="A23" s="37" t="s">
        <v>40</v>
      </c>
      <c r="B23" s="28">
        <f t="shared" ref="B23:B25" si="31">C23+J23+K23+L23</f>
        <v>0</v>
      </c>
      <c r="C23" s="28">
        <f t="shared" si="11"/>
        <v>0</v>
      </c>
      <c r="D23" s="29"/>
      <c r="E23" s="28"/>
      <c r="F23" s="28"/>
      <c r="G23" s="28"/>
      <c r="H23" s="28"/>
      <c r="I23" s="28"/>
      <c r="J23" s="28"/>
      <c r="K23" s="28"/>
      <c r="L23" s="28"/>
      <c r="M23" s="6">
        <f t="shared" si="12"/>
        <v>0</v>
      </c>
      <c r="N23" s="6">
        <f t="shared" si="21"/>
        <v>0</v>
      </c>
      <c r="O23" s="6">
        <f t="shared" si="13"/>
        <v>0</v>
      </c>
      <c r="P23" s="6">
        <f t="shared" si="14"/>
        <v>0</v>
      </c>
      <c r="Q23" s="6">
        <f>V23+AA23+AF23</f>
        <v>0</v>
      </c>
      <c r="R23" s="33">
        <f>S23+T23+U23+V23</f>
        <v>0</v>
      </c>
      <c r="S23" s="33"/>
      <c r="T23" s="33"/>
      <c r="U23" s="33"/>
      <c r="V23" s="33"/>
      <c r="W23" s="46">
        <f>X23+Y23+Z23+AA23</f>
        <v>0</v>
      </c>
      <c r="X23" s="46"/>
      <c r="Y23" s="46"/>
      <c r="Z23" s="46"/>
      <c r="AA23" s="46"/>
      <c r="AB23" s="6">
        <f>AC23+AD23+AE23+AF23</f>
        <v>0</v>
      </c>
      <c r="AC23" s="6"/>
      <c r="AD23" s="6"/>
      <c r="AE23" s="6"/>
      <c r="AF23" s="6"/>
      <c r="AG23" s="6">
        <f>AH23+AI23+AJ23+AK23</f>
        <v>0</v>
      </c>
      <c r="AH23" s="6"/>
      <c r="AI23" s="6"/>
      <c r="AJ23" s="6"/>
      <c r="AK23" s="6"/>
      <c r="AL23" s="6">
        <f>B23-M23</f>
        <v>0</v>
      </c>
      <c r="AM23" s="28">
        <f t="shared" si="7"/>
        <v>0</v>
      </c>
      <c r="AN23" s="28"/>
      <c r="AO23" s="28"/>
      <c r="AP23" s="28">
        <f>AQ23-AR23</f>
        <v>0</v>
      </c>
      <c r="AQ23" s="28"/>
      <c r="AR23" s="28"/>
      <c r="AS23" s="28"/>
      <c r="AT23" s="28"/>
      <c r="AU23" s="27">
        <f>AL23</f>
        <v>0</v>
      </c>
      <c r="AV23" s="30"/>
      <c r="AW23" s="28"/>
      <c r="AX23" s="28"/>
      <c r="AY23" s="6"/>
      <c r="AZ23" s="28"/>
      <c r="BA23" s="6"/>
      <c r="BB23" s="28"/>
      <c r="BC23" s="6">
        <f t="shared" si="8"/>
        <v>0</v>
      </c>
      <c r="BD23" s="6"/>
      <c r="BE23" s="6"/>
      <c r="BF23" s="6"/>
      <c r="BG23" s="6">
        <f t="shared" si="10"/>
        <v>0</v>
      </c>
      <c r="BH23" s="6"/>
      <c r="BI23" s="6"/>
      <c r="BJ23" s="32">
        <v>0</v>
      </c>
      <c r="BK23" s="28"/>
      <c r="BL23" s="27">
        <f t="shared" si="25"/>
        <v>0</v>
      </c>
      <c r="BM23" s="27">
        <v>0</v>
      </c>
      <c r="BN23" s="27">
        <v>0</v>
      </c>
      <c r="BO23" s="27">
        <v>0</v>
      </c>
      <c r="BP23" s="28"/>
      <c r="BQ23" s="27">
        <f t="shared" si="30"/>
        <v>0</v>
      </c>
      <c r="BR23" s="32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</row>
    <row r="24" spans="1:86" hidden="1">
      <c r="A24" s="37" t="s">
        <v>40</v>
      </c>
      <c r="B24" s="28">
        <f t="shared" si="31"/>
        <v>0</v>
      </c>
      <c r="C24" s="28">
        <f t="shared" si="11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6">
        <f t="shared" si="12"/>
        <v>0</v>
      </c>
      <c r="N24" s="6">
        <f t="shared" si="21"/>
        <v>0</v>
      </c>
      <c r="O24" s="6">
        <f t="shared" si="13"/>
        <v>0</v>
      </c>
      <c r="P24" s="6">
        <f t="shared" si="14"/>
        <v>0</v>
      </c>
      <c r="Q24" s="6">
        <f>V24+AA24+AF24</f>
        <v>0</v>
      </c>
      <c r="R24" s="33">
        <f>S24+T24+U24+V24</f>
        <v>0</v>
      </c>
      <c r="S24" s="33"/>
      <c r="T24" s="33"/>
      <c r="U24" s="33"/>
      <c r="V24" s="33"/>
      <c r="W24" s="46">
        <f>X24+Y24+Z24+AA24</f>
        <v>0</v>
      </c>
      <c r="X24" s="46"/>
      <c r="Y24" s="46"/>
      <c r="Z24" s="46"/>
      <c r="AA24" s="46"/>
      <c r="AB24" s="6">
        <f>AC24+AD24+AE24+AF24</f>
        <v>0</v>
      </c>
      <c r="AC24" s="6"/>
      <c r="AD24" s="6"/>
      <c r="AE24" s="6"/>
      <c r="AF24" s="6"/>
      <c r="AG24" s="6">
        <f>AH24+AI24+AJ24+AK24</f>
        <v>0</v>
      </c>
      <c r="AH24" s="6"/>
      <c r="AI24" s="6"/>
      <c r="AJ24" s="6"/>
      <c r="AK24" s="6"/>
      <c r="AL24" s="6">
        <f>B24-M24</f>
        <v>0</v>
      </c>
      <c r="AM24" s="28">
        <f t="shared" si="7"/>
        <v>0</v>
      </c>
      <c r="AN24" s="28"/>
      <c r="AO24" s="28"/>
      <c r="AP24" s="28">
        <f>AQ24-AR24</f>
        <v>0</v>
      </c>
      <c r="AQ24" s="28"/>
      <c r="AR24" s="28"/>
      <c r="AS24" s="28"/>
      <c r="AT24" s="28"/>
      <c r="AU24" s="27">
        <f>AL24</f>
        <v>0</v>
      </c>
      <c r="AV24" s="28"/>
      <c r="AW24" s="28"/>
      <c r="AX24" s="28"/>
      <c r="AY24" s="6"/>
      <c r="AZ24" s="28"/>
      <c r="BA24" s="6"/>
      <c r="BB24" s="28"/>
      <c r="BC24" s="6">
        <f t="shared" si="8"/>
        <v>0</v>
      </c>
      <c r="BD24" s="6"/>
      <c r="BE24" s="6"/>
      <c r="BF24" s="6"/>
      <c r="BG24" s="6">
        <f t="shared" si="10"/>
        <v>0</v>
      </c>
      <c r="BH24" s="6"/>
      <c r="BI24" s="6"/>
      <c r="BJ24" s="32">
        <v>0</v>
      </c>
      <c r="BK24" s="28"/>
      <c r="BL24" s="27">
        <f t="shared" si="25"/>
        <v>0</v>
      </c>
      <c r="BM24" s="27">
        <v>0</v>
      </c>
      <c r="BN24" s="27">
        <v>0</v>
      </c>
      <c r="BO24" s="27">
        <v>0</v>
      </c>
      <c r="BP24" s="28"/>
      <c r="BQ24" s="27">
        <f t="shared" si="30"/>
        <v>0</v>
      </c>
      <c r="BR24" s="32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</row>
    <row r="25" spans="1:86" ht="13.5" hidden="1" customHeight="1">
      <c r="A25" s="37" t="s">
        <v>40</v>
      </c>
      <c r="B25" s="28">
        <f t="shared" si="31"/>
        <v>0</v>
      </c>
      <c r="C25" s="28">
        <f t="shared" si="11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6">
        <f t="shared" si="12"/>
        <v>0</v>
      </c>
      <c r="N25" s="6">
        <f t="shared" si="21"/>
        <v>0</v>
      </c>
      <c r="O25" s="6">
        <f t="shared" si="13"/>
        <v>0</v>
      </c>
      <c r="P25" s="6">
        <f t="shared" si="14"/>
        <v>0</v>
      </c>
      <c r="Q25" s="6">
        <f>V25+AA25+AF25</f>
        <v>0</v>
      </c>
      <c r="R25" s="33">
        <f>S25+T25+U25+V25</f>
        <v>0</v>
      </c>
      <c r="S25" s="33"/>
      <c r="T25" s="33"/>
      <c r="U25" s="33"/>
      <c r="V25" s="33"/>
      <c r="W25" s="46">
        <f>X25+Y25+Z25+AA25</f>
        <v>0</v>
      </c>
      <c r="X25" s="46"/>
      <c r="Y25" s="46"/>
      <c r="Z25" s="46"/>
      <c r="AA25" s="46"/>
      <c r="AB25" s="6">
        <f>AC25+AD25+AE25+AF25</f>
        <v>0</v>
      </c>
      <c r="AC25" s="6"/>
      <c r="AD25" s="6"/>
      <c r="AE25" s="6"/>
      <c r="AF25" s="6"/>
      <c r="AG25" s="6">
        <f>AH25+AI25+AJ25+AK25</f>
        <v>0</v>
      </c>
      <c r="AH25" s="6"/>
      <c r="AI25" s="6"/>
      <c r="AJ25" s="6"/>
      <c r="AK25" s="6"/>
      <c r="AL25" s="6">
        <f>B25-M25</f>
        <v>0</v>
      </c>
      <c r="AM25" s="28">
        <f t="shared" si="7"/>
        <v>0</v>
      </c>
      <c r="AN25" s="28"/>
      <c r="AO25" s="28"/>
      <c r="AP25" s="28">
        <f>AQ25-AR25</f>
        <v>0</v>
      </c>
      <c r="AQ25" s="28"/>
      <c r="AR25" s="28"/>
      <c r="AS25" s="28"/>
      <c r="AT25" s="28"/>
      <c r="AU25" s="27">
        <f>AL25</f>
        <v>0</v>
      </c>
      <c r="AV25" s="28"/>
      <c r="AW25" s="28"/>
      <c r="AX25" s="28"/>
      <c r="AY25" s="6"/>
      <c r="AZ25" s="28"/>
      <c r="BA25" s="6"/>
      <c r="BB25" s="28"/>
      <c r="BC25" s="6">
        <f t="shared" si="8"/>
        <v>0</v>
      </c>
      <c r="BD25" s="6"/>
      <c r="BE25" s="6"/>
      <c r="BF25" s="6"/>
      <c r="BG25" s="6">
        <f t="shared" si="10"/>
        <v>0</v>
      </c>
      <c r="BH25" s="6"/>
      <c r="BI25" s="6"/>
      <c r="BJ25" s="32">
        <v>0</v>
      </c>
      <c r="BK25" s="28"/>
      <c r="BL25" s="27">
        <f t="shared" si="25"/>
        <v>0</v>
      </c>
      <c r="BM25" s="27">
        <v>0</v>
      </c>
      <c r="BN25" s="27">
        <v>0</v>
      </c>
      <c r="BO25" s="27">
        <v>0</v>
      </c>
      <c r="BP25" s="28"/>
      <c r="BQ25" s="27">
        <f t="shared" si="30"/>
        <v>0</v>
      </c>
      <c r="BR25" s="32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7">
        <v>0</v>
      </c>
      <c r="CF25" s="27">
        <v>0</v>
      </c>
      <c r="CG25" s="27">
        <v>0</v>
      </c>
      <c r="CH25" s="27">
        <v>0</v>
      </c>
    </row>
    <row r="26" spans="1:86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Z26" s="31"/>
      <c r="BB26" s="31"/>
      <c r="BK26" s="31"/>
      <c r="BL26" s="31"/>
      <c r="BM26" s="31"/>
      <c r="BN26" s="31"/>
      <c r="BO26" s="31"/>
      <c r="BP26" s="31"/>
      <c r="BQ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</row>
    <row r="28" spans="1:86" ht="15" customHeight="1">
      <c r="C28" s="7" t="s">
        <v>51</v>
      </c>
      <c r="H28" s="7" t="s">
        <v>85</v>
      </c>
      <c r="M28" s="69" t="s">
        <v>41</v>
      </c>
      <c r="N28" s="69"/>
      <c r="O28" s="69"/>
      <c r="P28" s="69"/>
      <c r="Q28" s="69"/>
      <c r="R28" s="69"/>
      <c r="S28" s="69"/>
      <c r="T28" s="69"/>
      <c r="U28" s="69"/>
      <c r="V28" s="69"/>
      <c r="W28" s="13"/>
      <c r="X28" s="13"/>
      <c r="Y28" s="13"/>
      <c r="Z28" s="13"/>
      <c r="AA28" s="13"/>
      <c r="BQ28" s="73" t="s">
        <v>49</v>
      </c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23"/>
      <c r="CE28" s="23"/>
      <c r="CF28" s="23"/>
    </row>
    <row r="29" spans="1:86"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13"/>
      <c r="X29" s="13"/>
      <c r="Y29" s="13"/>
      <c r="Z29" s="13"/>
      <c r="AA29" s="1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23"/>
      <c r="CE29" s="23"/>
      <c r="CF29" s="23"/>
    </row>
    <row r="30" spans="1:86">
      <c r="B30" s="7" t="s">
        <v>52</v>
      </c>
      <c r="C30" s="7" t="s">
        <v>86</v>
      </c>
    </row>
    <row r="31" spans="1:86">
      <c r="B31" s="7" t="s">
        <v>87</v>
      </c>
    </row>
  </sheetData>
  <mergeCells count="100"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BQ28:CC2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BE8:BE9"/>
    <mergeCell ref="AW7:BB7"/>
    <mergeCell ref="AW8:AW9"/>
    <mergeCell ref="M28:V29"/>
    <mergeCell ref="Q8:Q9"/>
    <mergeCell ref="AC8:AC9"/>
    <mergeCell ref="X8:X9"/>
    <mergeCell ref="N8:N9"/>
    <mergeCell ref="O8:O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BC6:BJ6"/>
    <mergeCell ref="BD8:BD9"/>
    <mergeCell ref="BA8:BA9"/>
    <mergeCell ref="BH8:BH9"/>
    <mergeCell ref="BC7:BC9"/>
    <mergeCell ref="BF8:BF9"/>
    <mergeCell ref="BH7:BJ7"/>
    <mergeCell ref="AR8:AR9"/>
    <mergeCell ref="AL6:AL9"/>
    <mergeCell ref="AM8:AM9"/>
    <mergeCell ref="AH7:AK7"/>
    <mergeCell ref="AI8:AI9"/>
    <mergeCell ref="BG7:BG9"/>
    <mergeCell ref="BD7:BF7"/>
    <mergeCell ref="AM6:AU6"/>
  </mergeCells>
  <phoneticPr fontId="14" type="noConversion"/>
  <printOptions horizontalCentered="1"/>
  <pageMargins left="0" right="0" top="0" bottom="0" header="0" footer="0"/>
  <pageSetup paperSize="9" scale="52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2021 год</vt:lpstr>
      <vt:lpstr>'за 2021 год'!Заголовки_для_печати</vt:lpstr>
      <vt:lpstr>'за 2021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fo-11</cp:lastModifiedBy>
  <cp:lastPrinted>2021-07-20T10:00:51Z</cp:lastPrinted>
  <dcterms:created xsi:type="dcterms:W3CDTF">2014-08-27T12:59:30Z</dcterms:created>
  <dcterms:modified xsi:type="dcterms:W3CDTF">2021-07-21T09:09:16Z</dcterms:modified>
</cp:coreProperties>
</file>